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53222"/>
  <mc:AlternateContent xmlns:mc="http://schemas.openxmlformats.org/markup-compatibility/2006">
    <mc:Choice Requires="x15">
      <x15ac:absPath xmlns:x15ac="http://schemas.microsoft.com/office/spreadsheetml/2010/11/ac" url="Z:\PEI\2021-2024 CDM Framework\SOE Web Updates\Jan. 1\3 FINAL Program Documents\Remediated Documents\Document Archive\IF Retrofit\prescriptive worksheets\For Keith\"/>
    </mc:Choice>
  </mc:AlternateContent>
  <workbookProtection workbookAlgorithmName="SHA-512" workbookHashValue="lg5EqMXIZhihsmMnP0KZVLK0Yt6U28hRvRRfjBhAIt/RsMGmOT2SN+FmVTE0shAGuawYgKHJm+NFXKjUf9Lw8Q==" workbookSaltValue="FeM32oV3RMr5WLYWaK4S6g==" workbookSpinCount="100000" lockStructure="1"/>
  <bookViews>
    <workbookView xWindow="0" yWindow="0" windowWidth="23040" windowHeight="8805"/>
  </bookViews>
  <sheets>
    <sheet name="CompAirPrescriptive" sheetId="47" r:id="rId1"/>
    <sheet name="Accessibility Disclaimer" sheetId="52" r:id="rId2"/>
    <sheet name="Version Control" sheetId="51" state="hidden" r:id="rId3"/>
    <sheet name="IncentiveTweak" sheetId="50" state="hidden" r:id="rId4"/>
    <sheet name="BackEnd" sheetId="48" state="hidden" r:id="rId5"/>
  </sheets>
  <definedNames>
    <definedName name="_xlnm._FilterDatabase" localSheetId="4" hidden="1">BackEnd!#REF!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L34" i="48" l="1"/>
  <c r="F61" i="47" l="1"/>
  <c r="F77" i="47" s="1"/>
  <c r="M89" i="48" l="1"/>
  <c r="M90" i="48"/>
  <c r="M91" i="48"/>
  <c r="M88" i="48"/>
  <c r="D77" i="48" l="1"/>
  <c r="D82" i="48" l="1"/>
  <c r="B85" i="48" l="1"/>
  <c r="D85" i="48"/>
  <c r="G77" i="48" l="1"/>
  <c r="D71" i="48"/>
  <c r="B77" i="48"/>
  <c r="A45" i="48" l="1"/>
  <c r="E45" i="48" s="1"/>
  <c r="A44" i="48"/>
  <c r="C44" i="48" s="1"/>
  <c r="B48" i="48" s="1"/>
  <c r="C45" i="48" l="1"/>
  <c r="B49" i="48" s="1"/>
  <c r="E7" i="47"/>
  <c r="C126" i="48" l="1"/>
  <c r="B50" i="48"/>
  <c r="B84" i="48" l="1"/>
  <c r="B71" i="48" l="1"/>
  <c r="B82" i="48" s="1"/>
  <c r="G78" i="48" l="1"/>
  <c r="C91" i="48" s="1"/>
  <c r="F77" i="48"/>
  <c r="B90" i="48" s="1"/>
  <c r="B91" i="48"/>
  <c r="D91" i="48" l="1"/>
  <c r="C77" i="48"/>
  <c r="B88" i="48"/>
  <c r="E77" i="48"/>
  <c r="A3" i="48" l="1"/>
  <c r="I6" i="50" l="1"/>
  <c r="I7" i="50"/>
  <c r="I8" i="50"/>
  <c r="I5" i="50"/>
  <c r="I4" i="50"/>
  <c r="I10" i="50"/>
  <c r="L10" i="50" s="1"/>
  <c r="I11" i="50"/>
  <c r="L11" i="50" s="1"/>
  <c r="I9" i="50"/>
  <c r="L9" i="50" s="1"/>
  <c r="I12" i="50"/>
  <c r="I13" i="50"/>
  <c r="A13" i="50"/>
  <c r="A12" i="50"/>
  <c r="A11" i="50"/>
  <c r="A10" i="50"/>
  <c r="A9" i="50"/>
  <c r="A8" i="50"/>
  <c r="A7" i="50"/>
  <c r="A6" i="50"/>
  <c r="A5" i="50"/>
  <c r="A4" i="50"/>
  <c r="A3" i="50"/>
  <c r="A2" i="50"/>
  <c r="M11" i="50" l="1"/>
  <c r="E38" i="47" s="1"/>
  <c r="A2" i="48"/>
  <c r="A8" i="48" s="1"/>
  <c r="E94" i="48" s="1"/>
  <c r="G98" i="48" s="1"/>
  <c r="D84" i="48"/>
  <c r="D83" i="48"/>
  <c r="F78" i="48"/>
  <c r="C90" i="48" s="1"/>
  <c r="D90" i="48" s="1"/>
  <c r="E78" i="48"/>
  <c r="C89" i="48" s="1"/>
  <c r="D78" i="48"/>
  <c r="C88" i="48" s="1"/>
  <c r="D88" i="48" s="1"/>
  <c r="C78" i="48"/>
  <c r="B78" i="48"/>
  <c r="A78" i="48"/>
  <c r="B89" i="48"/>
  <c r="C71" i="48"/>
  <c r="B83" i="48" s="1"/>
  <c r="E44" i="48"/>
  <c r="L29" i="48"/>
  <c r="K41" i="48" s="1"/>
  <c r="K29" i="48"/>
  <c r="J41" i="48" s="1"/>
  <c r="J29" i="48"/>
  <c r="I41" i="48" s="1"/>
  <c r="I29" i="48"/>
  <c r="H41" i="48" s="1"/>
  <c r="H29" i="48"/>
  <c r="G41" i="48" s="1"/>
  <c r="G29" i="48"/>
  <c r="F41" i="48" s="1"/>
  <c r="F29" i="48"/>
  <c r="E41" i="48" s="1"/>
  <c r="E29" i="48"/>
  <c r="D41" i="48" s="1"/>
  <c r="D29" i="48"/>
  <c r="C41" i="48" s="1"/>
  <c r="C29" i="48"/>
  <c r="B41" i="48" s="1"/>
  <c r="L28" i="48"/>
  <c r="K40" i="48" s="1"/>
  <c r="K28" i="48"/>
  <c r="J40" i="48" s="1"/>
  <c r="J28" i="48"/>
  <c r="I40" i="48" s="1"/>
  <c r="I28" i="48"/>
  <c r="H40" i="48" s="1"/>
  <c r="H28" i="48"/>
  <c r="G40" i="48" s="1"/>
  <c r="G28" i="48"/>
  <c r="F40" i="48" s="1"/>
  <c r="F28" i="48"/>
  <c r="E40" i="48" s="1"/>
  <c r="E28" i="48"/>
  <c r="D40" i="48" s="1"/>
  <c r="D28" i="48"/>
  <c r="C40" i="48" s="1"/>
  <c r="C28" i="48"/>
  <c r="B40" i="48" s="1"/>
  <c r="L27" i="48"/>
  <c r="K39" i="48" s="1"/>
  <c r="K27" i="48"/>
  <c r="J39" i="48" s="1"/>
  <c r="J27" i="48"/>
  <c r="I39" i="48" s="1"/>
  <c r="I27" i="48"/>
  <c r="H39" i="48" s="1"/>
  <c r="H27" i="48"/>
  <c r="G39" i="48" s="1"/>
  <c r="G27" i="48"/>
  <c r="F39" i="48" s="1"/>
  <c r="F27" i="48"/>
  <c r="E39" i="48" s="1"/>
  <c r="E27" i="48"/>
  <c r="D39" i="48" s="1"/>
  <c r="D27" i="48"/>
  <c r="C39" i="48" s="1"/>
  <c r="C27" i="48"/>
  <c r="B39" i="48" s="1"/>
  <c r="L26" i="48"/>
  <c r="K38" i="48" s="1"/>
  <c r="K26" i="48"/>
  <c r="J38" i="48" s="1"/>
  <c r="J26" i="48"/>
  <c r="I38" i="48" s="1"/>
  <c r="I26" i="48"/>
  <c r="H38" i="48" s="1"/>
  <c r="H26" i="48"/>
  <c r="G38" i="48" s="1"/>
  <c r="G26" i="48"/>
  <c r="F38" i="48" s="1"/>
  <c r="F26" i="48"/>
  <c r="E38" i="48" s="1"/>
  <c r="E26" i="48"/>
  <c r="D38" i="48" s="1"/>
  <c r="D26" i="48"/>
  <c r="C38" i="48" s="1"/>
  <c r="C26" i="48"/>
  <c r="B38" i="48" s="1"/>
  <c r="L25" i="48"/>
  <c r="K37" i="48" s="1"/>
  <c r="K25" i="48"/>
  <c r="J37" i="48" s="1"/>
  <c r="J25" i="48"/>
  <c r="I37" i="48" s="1"/>
  <c r="I25" i="48"/>
  <c r="H37" i="48" s="1"/>
  <c r="H25" i="48"/>
  <c r="G37" i="48" s="1"/>
  <c r="G25" i="48"/>
  <c r="F37" i="48" s="1"/>
  <c r="F25" i="48"/>
  <c r="E37" i="48" s="1"/>
  <c r="E25" i="48"/>
  <c r="D37" i="48" s="1"/>
  <c r="D25" i="48"/>
  <c r="C37" i="48" s="1"/>
  <c r="C25" i="48"/>
  <c r="B37" i="48" s="1"/>
  <c r="D142" i="48"/>
  <c r="F94" i="48"/>
  <c r="A6" i="48" l="1"/>
  <c r="B97" i="48" s="1"/>
  <c r="D89" i="48"/>
  <c r="C94" i="48"/>
  <c r="F44" i="48"/>
  <c r="G44" i="48" s="1"/>
  <c r="E48" i="48" s="1"/>
  <c r="E50" i="48" s="1"/>
  <c r="C48" i="48"/>
  <c r="C50" i="48" s="1"/>
  <c r="L39" i="48"/>
  <c r="L40" i="48"/>
  <c r="L41" i="48"/>
  <c r="C49" i="48"/>
  <c r="C51" i="48" s="1"/>
  <c r="F45" i="48"/>
  <c r="D49" i="48" s="1"/>
  <c r="D51" i="48" s="1"/>
  <c r="L38" i="48"/>
  <c r="L37" i="48"/>
  <c r="B51" i="48"/>
  <c r="D48" i="48" l="1"/>
  <c r="D50" i="48" s="1"/>
  <c r="B98" i="48"/>
  <c r="C98" i="48" s="1"/>
  <c r="C97" i="48"/>
  <c r="I98" i="48"/>
  <c r="A13" i="48"/>
  <c r="A15" i="48" s="1"/>
  <c r="C111" i="48"/>
  <c r="E111" i="48" s="1"/>
  <c r="G99" i="48"/>
  <c r="D94" i="48"/>
  <c r="G94" i="48" s="1"/>
  <c r="C103" i="48"/>
  <c r="C127" i="48"/>
  <c r="L53" i="48" s="1"/>
  <c r="G100" i="48"/>
  <c r="I100" i="48" s="1"/>
  <c r="C37" i="47" s="1"/>
  <c r="K11" i="50" s="1"/>
  <c r="G37" i="47" s="1"/>
  <c r="G45" i="48"/>
  <c r="E49" i="48" s="1"/>
  <c r="E51" i="48" s="1"/>
  <c r="H44" i="48"/>
  <c r="D98" i="48" l="1"/>
  <c r="J98" i="48" s="1"/>
  <c r="K98" i="48" s="1"/>
  <c r="M98" i="48" s="1"/>
  <c r="E91" i="48"/>
  <c r="E88" i="48"/>
  <c r="F88" i="48" s="1"/>
  <c r="E90" i="48"/>
  <c r="E89" i="48"/>
  <c r="C82" i="48"/>
  <c r="E82" i="48" s="1"/>
  <c r="F82" i="48" s="1"/>
  <c r="C85" i="48"/>
  <c r="E85" i="48" s="1"/>
  <c r="F85" i="48" s="1"/>
  <c r="H85" i="48" s="1"/>
  <c r="B100" i="48"/>
  <c r="C100" i="48" s="1"/>
  <c r="B99" i="48"/>
  <c r="C99" i="48" s="1"/>
  <c r="I99" i="48"/>
  <c r="C36" i="47" s="1"/>
  <c r="K10" i="50" s="1"/>
  <c r="G36" i="47" s="1"/>
  <c r="C35" i="47"/>
  <c r="K9" i="50" s="1"/>
  <c r="G35" i="47" s="1"/>
  <c r="I44" i="48"/>
  <c r="G48" i="48" s="1"/>
  <c r="G50" i="48" s="1"/>
  <c r="F48" i="48"/>
  <c r="F50" i="48" s="1"/>
  <c r="H45" i="48"/>
  <c r="F49" i="48" s="1"/>
  <c r="F51" i="48" s="1"/>
  <c r="N85" i="48" l="1"/>
  <c r="J85" i="48"/>
  <c r="K85" i="48" s="1"/>
  <c r="M85" i="48"/>
  <c r="L85" i="48"/>
  <c r="K88" i="48"/>
  <c r="N88" i="48" s="1"/>
  <c r="H98" i="48"/>
  <c r="I85" i="48"/>
  <c r="F90" i="48"/>
  <c r="F89" i="48"/>
  <c r="C84" i="48"/>
  <c r="E84" i="48" s="1"/>
  <c r="F84" i="48" s="1"/>
  <c r="I84" i="48" s="1"/>
  <c r="C83" i="48"/>
  <c r="E83" i="48" s="1"/>
  <c r="F83" i="48" s="1"/>
  <c r="I83" i="48" s="1"/>
  <c r="H82" i="48"/>
  <c r="F91" i="48"/>
  <c r="D100" i="48"/>
  <c r="H100" i="48" s="1"/>
  <c r="D99" i="48"/>
  <c r="J99" i="48" s="1"/>
  <c r="H10" i="50" s="1"/>
  <c r="B114" i="48"/>
  <c r="C114" i="48" s="1"/>
  <c r="D114" i="48" s="1"/>
  <c r="E103" i="48"/>
  <c r="C44" i="47" s="1"/>
  <c r="B115" i="48"/>
  <c r="C115" i="48" s="1"/>
  <c r="D115" i="48" s="1"/>
  <c r="I45" i="48"/>
  <c r="G49" i="48" s="1"/>
  <c r="G51" i="48" s="1"/>
  <c r="J44" i="48"/>
  <c r="H48" i="48" s="1"/>
  <c r="H50" i="48" s="1"/>
  <c r="G91" i="48" l="1"/>
  <c r="K91" i="48"/>
  <c r="G6" i="50"/>
  <c r="K89" i="48"/>
  <c r="G7" i="50"/>
  <c r="K90" i="48"/>
  <c r="E115" i="48"/>
  <c r="J82" i="48"/>
  <c r="K82" i="48" s="1"/>
  <c r="M82" i="48"/>
  <c r="C2" i="50" s="1"/>
  <c r="E2" i="50" s="1"/>
  <c r="H83" i="48"/>
  <c r="M83" i="48" s="1"/>
  <c r="C3" i="50" s="1"/>
  <c r="E3" i="50" s="1"/>
  <c r="G90" i="48"/>
  <c r="J90" i="48"/>
  <c r="B7" i="50" s="1"/>
  <c r="H90" i="48"/>
  <c r="I90" i="48" s="1"/>
  <c r="G8" i="50"/>
  <c r="E98" i="48"/>
  <c r="H84" i="48"/>
  <c r="G4" i="50" s="1"/>
  <c r="L82" i="48"/>
  <c r="B2" i="50" s="1"/>
  <c r="H91" i="48"/>
  <c r="J91" i="48"/>
  <c r="B8" i="50" s="1"/>
  <c r="I82" i="48"/>
  <c r="G10" i="50"/>
  <c r="H88" i="48"/>
  <c r="I88" i="48" s="1"/>
  <c r="C5" i="50"/>
  <c r="E5" i="50" s="1"/>
  <c r="D14" i="47" s="1"/>
  <c r="F14" i="47" s="1"/>
  <c r="J5" i="50" s="1"/>
  <c r="J88" i="48"/>
  <c r="B5" i="50" s="1"/>
  <c r="G9" i="50"/>
  <c r="C51" i="47"/>
  <c r="L100" i="48"/>
  <c r="B11" i="50" s="1"/>
  <c r="E100" i="48"/>
  <c r="K99" i="48"/>
  <c r="M99" i="48" s="1"/>
  <c r="C10" i="50" s="1"/>
  <c r="D36" i="47" s="1"/>
  <c r="F36" i="47" s="1"/>
  <c r="J10" i="50" s="1"/>
  <c r="E99" i="48"/>
  <c r="G11" i="50"/>
  <c r="J100" i="48"/>
  <c r="H11" i="50" s="1"/>
  <c r="G89" i="48"/>
  <c r="J89" i="48"/>
  <c r="B6" i="50" s="1"/>
  <c r="H9" i="50"/>
  <c r="L98" i="48"/>
  <c r="B9" i="50" s="1"/>
  <c r="H89" i="48"/>
  <c r="I89" i="48" s="1"/>
  <c r="L99" i="48"/>
  <c r="B10" i="50" s="1"/>
  <c r="H99" i="48"/>
  <c r="L12" i="50"/>
  <c r="K12" i="50" s="1"/>
  <c r="E45" i="47" s="1"/>
  <c r="G5" i="50"/>
  <c r="G88" i="48"/>
  <c r="J45" i="48"/>
  <c r="K44" i="48"/>
  <c r="G115" i="48" l="1"/>
  <c r="J115" i="48" s="1"/>
  <c r="F115" i="48"/>
  <c r="H8" i="50"/>
  <c r="I91" i="48"/>
  <c r="C9" i="50"/>
  <c r="D35" i="47" s="1"/>
  <c r="F35" i="47" s="1"/>
  <c r="J9" i="50" s="1"/>
  <c r="C6" i="50"/>
  <c r="E6" i="50" s="1"/>
  <c r="D15" i="47" s="1"/>
  <c r="N89" i="48"/>
  <c r="C8" i="50"/>
  <c r="E8" i="50" s="1"/>
  <c r="D17" i="47" s="1"/>
  <c r="F17" i="47" s="1"/>
  <c r="J8" i="50" s="1"/>
  <c r="N91" i="48"/>
  <c r="C7" i="50"/>
  <c r="E7" i="50" s="1"/>
  <c r="D16" i="47" s="1"/>
  <c r="F16" i="47" s="1"/>
  <c r="J7" i="50" s="1"/>
  <c r="N90" i="48"/>
  <c r="J83" i="48"/>
  <c r="K83" i="48" s="1"/>
  <c r="H7" i="50"/>
  <c r="L84" i="48"/>
  <c r="B4" i="50" s="1"/>
  <c r="M84" i="48"/>
  <c r="C4" i="50" s="1"/>
  <c r="E4" i="50" s="1"/>
  <c r="L83" i="48"/>
  <c r="B3" i="50" s="1"/>
  <c r="J84" i="48"/>
  <c r="K84" i="48" s="1"/>
  <c r="H5" i="50"/>
  <c r="K100" i="48"/>
  <c r="M100" i="48" s="1"/>
  <c r="C11" i="50" s="1"/>
  <c r="D37" i="47" s="1"/>
  <c r="F37" i="47" s="1"/>
  <c r="J11" i="50" s="1"/>
  <c r="H6" i="50"/>
  <c r="H115" i="48"/>
  <c r="L13" i="50"/>
  <c r="K13" i="50" s="1"/>
  <c r="E52" i="47" s="1"/>
  <c r="I115" i="48"/>
  <c r="B13" i="50" s="1"/>
  <c r="G13" i="50"/>
  <c r="J4" i="50"/>
  <c r="L44" i="48"/>
  <c r="K48" i="48" s="1"/>
  <c r="K50" i="48" s="1"/>
  <c r="K45" i="48"/>
  <c r="I48" i="48"/>
  <c r="I50" i="48" s="1"/>
  <c r="H49" i="48"/>
  <c r="H51" i="48" s="1"/>
  <c r="H13" i="50" l="1"/>
  <c r="F15" i="47"/>
  <c r="J6" i="50" s="1"/>
  <c r="H4" i="50"/>
  <c r="C13" i="50"/>
  <c r="D51" i="47" s="1"/>
  <c r="F51" i="47" s="1"/>
  <c r="L45" i="48"/>
  <c r="K49" i="48" s="1"/>
  <c r="K51" i="48" s="1"/>
  <c r="I49" i="48"/>
  <c r="I51" i="48" s="1"/>
  <c r="J48" i="48"/>
  <c r="J50" i="48" s="1"/>
  <c r="L50" i="48" s="1"/>
  <c r="B106" i="48" s="1"/>
  <c r="C106" i="48" s="1"/>
  <c r="J49" i="48" l="1"/>
  <c r="J51" i="48" s="1"/>
  <c r="L51" i="48" s="1"/>
  <c r="B107" i="48" s="1"/>
  <c r="C107" i="48" s="1"/>
  <c r="D107" i="48" l="1"/>
  <c r="G12" i="50" s="1"/>
  <c r="G14" i="50" s="1"/>
  <c r="E107" i="48" l="1"/>
  <c r="H107" i="48"/>
  <c r="B12" i="50" s="1"/>
  <c r="F107" i="48"/>
  <c r="G107" i="48" s="1"/>
  <c r="H12" i="50" l="1"/>
  <c r="H14" i="50" s="1"/>
  <c r="I107" i="48"/>
  <c r="C12" i="50" s="1"/>
  <c r="D44" i="47" s="1"/>
  <c r="F44" i="47" s="1"/>
  <c r="J12" i="50" s="1"/>
  <c r="J13" i="50" l="1"/>
  <c r="J14" i="50" s="1"/>
  <c r="F54" i="47" l="1"/>
  <c r="F75" i="47" s="1"/>
  <c r="F79" i="47" s="1"/>
</calcChain>
</file>

<file path=xl/sharedStrings.xml><?xml version="1.0" encoding="utf-8"?>
<sst xmlns="http://schemas.openxmlformats.org/spreadsheetml/2006/main" count="373" uniqueCount="279">
  <si>
    <t xml:space="preserve">Percentage of Capacity </t>
  </si>
  <si>
    <t xml:space="preserve">Load/Unload (1 gal/CFM) </t>
  </si>
  <si>
    <t xml:space="preserve">Load/Unload (3 gal/CFM) </t>
  </si>
  <si>
    <t xml:space="preserve">Load/Unload (5 gal/CFM) </t>
  </si>
  <si>
    <t xml:space="preserve">Load/Unload (10 gal/CFM) </t>
  </si>
  <si>
    <t xml:space="preserve">Load/Unload (2 gal/CFM) </t>
  </si>
  <si>
    <t xml:space="preserve"> 0-10%</t>
  </si>
  <si>
    <t xml:space="preserve"> 11-20%</t>
  </si>
  <si>
    <t xml:space="preserve"> 21-30%</t>
  </si>
  <si>
    <t xml:space="preserve"> 31-40%</t>
  </si>
  <si>
    <t xml:space="preserve"> 41-50%</t>
  </si>
  <si>
    <t xml:space="preserve"> 51-60%</t>
  </si>
  <si>
    <t xml:space="preserve"> 61-70%</t>
  </si>
  <si>
    <t xml:space="preserve"> 71-80%</t>
  </si>
  <si>
    <t xml:space="preserve"> 81-90%</t>
  </si>
  <si>
    <t xml:space="preserve"> 91-100%</t>
  </si>
  <si>
    <t>Days per Week</t>
  </si>
  <si>
    <t>Ontario Composite Profile</t>
  </si>
  <si>
    <t>Baseline of Full Load</t>
  </si>
  <si>
    <t>Maximum Humidity</t>
  </si>
  <si>
    <t>Thermal Mass</t>
  </si>
  <si>
    <t>Non-Cycling</t>
  </si>
  <si>
    <t>Thermal Mass Energy Consumption</t>
  </si>
  <si>
    <t xml:space="preserve">Non-Cycling Energy Consumption </t>
  </si>
  <si>
    <t xml:space="preserve">Slope </t>
  </si>
  <si>
    <t xml:space="preserve">Pressure (psig) </t>
  </si>
  <si>
    <t xml:space="preserve">1/64 </t>
  </si>
  <si>
    <t xml:space="preserve">1/32 </t>
  </si>
  <si>
    <t>1/16</t>
  </si>
  <si>
    <t>1/8</t>
  </si>
  <si>
    <t>1/4</t>
  </si>
  <si>
    <t>3/8</t>
  </si>
  <si>
    <t>3/8" Drain</t>
  </si>
  <si>
    <t>Average</t>
  </si>
  <si>
    <t>Clock Hour</t>
  </si>
  <si>
    <t>Week Hour</t>
  </si>
  <si>
    <t>Sum 88 Compressors</t>
  </si>
  <si>
    <t>Average 88 Compressors</t>
  </si>
  <si>
    <t xml:space="preserve">Load/Unload – Oil-Free </t>
  </si>
  <si>
    <t xml:space="preserve">Inlet Valve Modulation (w/o Blowdown) </t>
  </si>
  <si>
    <t xml:space="preserve">Inlet Valve Modulation (w/Blowdown) </t>
  </si>
  <si>
    <t xml:space="preserve">Variable Displacement </t>
  </si>
  <si>
    <t>VSD w/Unloading</t>
  </si>
  <si>
    <t xml:space="preserve">VSD w/Stopping </t>
  </si>
  <si>
    <t>Count On</t>
  </si>
  <si>
    <t>Count Off</t>
  </si>
  <si>
    <t>Peak Average</t>
  </si>
  <si>
    <t>Notes</t>
  </si>
  <si>
    <t>Average HP</t>
  </si>
  <si>
    <t>Assumed Voltage</t>
  </si>
  <si>
    <t>Average Compressor Size</t>
  </si>
  <si>
    <t>Hours per Day</t>
  </si>
  <si>
    <t>hours</t>
  </si>
  <si>
    <t>days</t>
  </si>
  <si>
    <t>weeks</t>
  </si>
  <si>
    <t>Maximum Compressor Power</t>
  </si>
  <si>
    <t>Ontario Composite Profile for Fixed Speed Compressor</t>
  </si>
  <si>
    <t>Percent of Rated Power Bin</t>
  </si>
  <si>
    <t>Percent of Time</t>
  </si>
  <si>
    <t>Percent of Full Load Power</t>
  </si>
  <si>
    <t>Percent of Full Load Power Bin</t>
  </si>
  <si>
    <t>Compressor Maximum Output (cfm)</t>
  </si>
  <si>
    <t>cfm</t>
  </si>
  <si>
    <t>Compressor Output factor (cfm per HP) rule of thumb @100 psig</t>
  </si>
  <si>
    <t>New Power with 2 USG/cfm</t>
  </si>
  <si>
    <t>New Power with 3 USG/cfm</t>
  </si>
  <si>
    <t>New Power with 5 USG/cfm</t>
  </si>
  <si>
    <t>New Power with 10 USG/cfm</t>
  </si>
  <si>
    <t xml:space="preserve">Load/Unload (1 USG/cfm) </t>
  </si>
  <si>
    <t xml:space="preserve">Load/Unload (2 USG/cfm) </t>
  </si>
  <si>
    <t xml:space="preserve">Load/Unload (3 USG/cfm) </t>
  </si>
  <si>
    <t xml:space="preserve">Load/Unload (5 USG/cfm) </t>
  </si>
  <si>
    <t xml:space="preserve">Load/Unload (10 USG/cfm) </t>
  </si>
  <si>
    <t>Base Dryer Cycles per hour</t>
  </si>
  <si>
    <t>Cycle Savings</t>
  </si>
  <si>
    <t>Percent Cycle Savings</t>
  </si>
  <si>
    <t>Non Cycling Bins</t>
  </si>
  <si>
    <t>Cycling Dryer Bins</t>
  </si>
  <si>
    <t>Compressor HP</t>
  </si>
  <si>
    <t>Approximate Output cfm</t>
  </si>
  <si>
    <t>Annual Operating Hours</t>
  </si>
  <si>
    <t>Compressor Nameplate kW</t>
  </si>
  <si>
    <t>Weighted Average of Compressor Full Power</t>
  </si>
  <si>
    <t>Weighted Average Hourly kW based on Ontario Profile</t>
  </si>
  <si>
    <t>Annualized kWh</t>
  </si>
  <si>
    <t>Percent Energy Savings with Primary Receiver</t>
  </si>
  <si>
    <t>3 USG/cfm</t>
  </si>
  <si>
    <t>5 USG/cfm</t>
  </si>
  <si>
    <t>10 USG/cfm</t>
  </si>
  <si>
    <t>Receiver Tank Multiplier USG/cfm</t>
  </si>
  <si>
    <t>Incentive @$0.10/kWh per USG</t>
  </si>
  <si>
    <t>Incentive @$0.10/kWh per Compressor HP</t>
  </si>
  <si>
    <t>Estimated Power Factor</t>
  </si>
  <si>
    <t>Baseline (1 USG/cfm)</t>
  </si>
  <si>
    <t>Baseline (Non-Cycling Dryer)</t>
  </si>
  <si>
    <t>Cycling Dyer</t>
  </si>
  <si>
    <t>Incentive @$0.10/kWh</t>
  </si>
  <si>
    <t>Approximate Dryer Capacity (cfm) plus 20%</t>
  </si>
  <si>
    <t>Incentive @$0.10/kWh per cfm</t>
  </si>
  <si>
    <t>Baseline Air Flow (cfm)</t>
  </si>
  <si>
    <t>Compressor Index</t>
  </si>
  <si>
    <t>kW Consumption</t>
  </si>
  <si>
    <t>Annual kWh Consumption</t>
  </si>
  <si>
    <t xml:space="preserve">Orifice Diameter (inches) </t>
  </si>
  <si>
    <t xml:space="preserve">Values should be multiplied by 0.97 for well-rounded orifices and by 0.61 for sharp orifices. </t>
  </si>
  <si>
    <t>Air Leakage through Orifice Table (Source: US DOE Compressed Air Challenge 2013)</t>
  </si>
  <si>
    <t>For Drains</t>
  </si>
  <si>
    <t>For Nozzles</t>
  </si>
  <si>
    <t>Use 100 psig for Compressor, Dryer and Receiver Tank drains</t>
  </si>
  <si>
    <t>Use 30 psig for efficient nozzle or air assisted nozzles</t>
  </si>
  <si>
    <t>Typical number of Timed Drain Actuations per Hour</t>
  </si>
  <si>
    <t>Orifice Discharge Rate (cfm)</t>
  </si>
  <si>
    <t>Equivalent kW Demand</t>
  </si>
  <si>
    <t>Operating Time (hours)</t>
  </si>
  <si>
    <t>Assumed kWh for Zero Loss Drain</t>
  </si>
  <si>
    <t>Annual Savings (kWh)</t>
  </si>
  <si>
    <t>Equivalent kWh each hour</t>
  </si>
  <si>
    <t>Annual kWh at 100% Loading</t>
  </si>
  <si>
    <t>1/8"  Drain</t>
  </si>
  <si>
    <t>1/4"  Drain</t>
  </si>
  <si>
    <t>1/8" Nozzle</t>
  </si>
  <si>
    <t>3/8" Nozzle</t>
  </si>
  <si>
    <t>Open Blowing Flow Rate (cfm)</t>
  </si>
  <si>
    <t>Efficient Nozzle Flow Rate (cfm)</t>
  </si>
  <si>
    <t>Air Savings with Nozzle (cfm)</t>
  </si>
  <si>
    <t>Equivalent kW Demand Savings</t>
  </si>
  <si>
    <t>Weighted average kW for 1000 cfm non cycling dryer with Ontario Profile</t>
  </si>
  <si>
    <t>Weighted average kW for 1000 cfm cycling dryer with Ontario Profile</t>
  </si>
  <si>
    <t>Typical 10&amp;100% kW power profile  for nominal 1000 cfm non cycling dryer</t>
  </si>
  <si>
    <t>Typical 10&amp;100% kW power profile for nominal 1000 cfm cycling/thermal mass dryer</t>
  </si>
  <si>
    <t>Percent of Dryer Rated Capacity required for Dryer Regeneration</t>
  </si>
  <si>
    <t>88 Compressors in Ontario Composite (HP)</t>
  </si>
  <si>
    <t>Incentive Rate per Drain</t>
  </si>
  <si>
    <t>1/16"  Engineered Nozzle</t>
  </si>
  <si>
    <t>1/8" Engineered Nozzle</t>
  </si>
  <si>
    <t>1/4"  Engineered Nozzle</t>
  </si>
  <si>
    <t>3/8" Engineered Nozzle</t>
  </si>
  <si>
    <t>Incentive Rate per Engineered Nozzle</t>
  </si>
  <si>
    <t>Approximately  % Capacity of Compressor</t>
  </si>
  <si>
    <t>Percent of time that open blowing occurs</t>
  </si>
  <si>
    <t>Reference: Scales, William, and David M. McCulloch. "Appendix 2.A.2." Best Practices for Compressed Air Systems. 2nd ed. Alexandria, VA: Compressed Air Challenge, 2013</t>
  </si>
  <si>
    <t>Approximate Regenerative  Dryer Capacity Required (cfm)</t>
  </si>
  <si>
    <t>Average Required Regenerator Flow (cfm)</t>
  </si>
  <si>
    <t>Reference Compressed Air Challenge Scales and McCulloch (2013)</t>
  </si>
  <si>
    <t>Based on reducing dryer switchover times using psychometric calculation for 104 weeks (2015&amp;2016) at Ingersoll Ontario. Percent Cycle Savings Based on Reducing the drying cycles when absolute humidity is less than  (0.00600 kg H2O per kg Air). Average humidity for period used was 0.006622  kg H2O per kg Air and maximum humidity was 0.014101  kg H2O per kg Air. Date: Environment Canada</t>
  </si>
  <si>
    <t>Equivalent kWh per Year</t>
  </si>
  <si>
    <t>Base Cycles</t>
  </si>
  <si>
    <t>New Cycles With Dewpoint Control</t>
  </si>
  <si>
    <t>Dewpoint Control</t>
  </si>
  <si>
    <t>Compressor Size (Note Average Ontario Composite Compressor Size is 122.886363636364 HP)</t>
  </si>
  <si>
    <t>Humidity and Moisture Levels</t>
  </si>
  <si>
    <t>Composite Compressors</t>
  </si>
  <si>
    <t>Incentive Rate per cfm of Dryer Capacity</t>
  </si>
  <si>
    <t>Make and Model Numbers of Zero Loss Drain(s)</t>
  </si>
  <si>
    <t>Make and Model Number(s) of Engineered Nozzle(s)</t>
  </si>
  <si>
    <t>Capacity of New Dewpoint Controlled Regenerative Dryer (cfm)</t>
  </si>
  <si>
    <t>Capacity of New Cycling Refrigeration  Dryer (cfm)</t>
  </si>
  <si>
    <t>Incentive Rate per USG of additional Primary Receiver Capacity</t>
  </si>
  <si>
    <t>Make, and Model Number of Cycling or Thermal Mass Dryer</t>
  </si>
  <si>
    <t>Quantity of Zero Loss Drains Installed</t>
  </si>
  <si>
    <t xml:space="preserve">Note 5: Based on feedback from first draft review, It will be left to market to police itself and the LDC reviewer to ensure that the incentive does not exceed the capital cost of the item. </t>
  </si>
  <si>
    <t>Quantity of  Engineered Nozzle(s) Installed</t>
  </si>
  <si>
    <t>Engineered Nozzle Nominal Diameter Size</t>
  </si>
  <si>
    <t>kW/100 cfm for Compressor at full load</t>
  </si>
  <si>
    <t>Hour per Year (assumes 10 statutory holidays and 1 week shutdown)</t>
  </si>
  <si>
    <t>Adjustment for part load efficiency, pressure loss across filters, dyers and nominal power to operate dryer</t>
  </si>
  <si>
    <t>Note 1: Purple font not intended to be shown on final worksheet version but is for information,  reporting and tracking</t>
  </si>
  <si>
    <t xml:space="preserve">Note 6: Foreground IP in this software vests to the IESO. Background IP remains property of LeapFrog Energy Technologies Inc.. This deliverable for use only within Province of Ontario for IESO CDM programs and not repackaged or used elsewhere. </t>
  </si>
  <si>
    <t>Incentive Amount for Measure</t>
  </si>
  <si>
    <t>1/4" Nozzle</t>
  </si>
  <si>
    <t>1/16" Nozzle</t>
  </si>
  <si>
    <t>Note 3: Ontario Composite Profile for Fixed Speed Compressors used for Receiver Tanks and Dryer Upgrade calculations</t>
  </si>
  <si>
    <t xml:space="preserve">Note 7: Working group requested to provide input for rounding the incentive amounts if required. </t>
  </si>
  <si>
    <t xml:space="preserve">Note 4: Dropdown and other Reasonableness Validation features were removed after feedback from first draft version. </t>
  </si>
  <si>
    <t>Approximate Capacity of New Dryer (cfm)  "Rule of Thumb"</t>
  </si>
  <si>
    <t>Nominal operating hours per year (Conservative hours used as small industrial customers more likely to apply for prescriptive incentives, and larger customers for custom program incentives)</t>
  </si>
  <si>
    <t>For 3 USG Primary Storage per cfm capacity</t>
  </si>
  <si>
    <t>For 5 USG Primary Storage per cfm capacity</t>
  </si>
  <si>
    <t>For 10 USG Primary Storage per cfm capacity</t>
  </si>
  <si>
    <t>Existing Primary Receiver Capacity (USG)</t>
  </si>
  <si>
    <t>Enter Existing Primary Receiver Volume in USG</t>
  </si>
  <si>
    <t>Actual Required Tank Size (USG)</t>
  </si>
  <si>
    <t>Peak Factor</t>
  </si>
  <si>
    <t>Nozzle @800/kW</t>
  </si>
  <si>
    <t>Approximate Additional Receiver Capacity Required "Rule of Thumb" Plus up to 20% Extra (USG)</t>
  </si>
  <si>
    <t>Measure 1: Install Zero Loss Air Drain(s)</t>
  </si>
  <si>
    <t xml:space="preserve">Measure 2: Install Engineered Nozzles to Replace Open Blowing Pipe or Locally Fabricated Nozzles </t>
  </si>
  <si>
    <t>Drain Incentive @$0.10/kWh</t>
  </si>
  <si>
    <t>Drain @$800/kW</t>
  </si>
  <si>
    <t>Allowable Tank Size (Rule of Thumb - Actual) + 20% allowance</t>
  </si>
  <si>
    <t>Incentive based on $800/kW</t>
  </si>
  <si>
    <t>Incentive based on $0.10/kWh</t>
  </si>
  <si>
    <t>Prescriptive Measure Implemented</t>
  </si>
  <si>
    <t>per drain</t>
  </si>
  <si>
    <t>per nozzle</t>
  </si>
  <si>
    <t>per cfm of dryer capacity</t>
  </si>
  <si>
    <t>Incentive based on…</t>
  </si>
  <si>
    <t>Expected Annual kWh Savings</t>
  </si>
  <si>
    <t>Expected Peak kW Savings</t>
  </si>
  <si>
    <t>Quantity Implemented</t>
  </si>
  <si>
    <t>Incentive</t>
  </si>
  <si>
    <t>per additional USG tank capacity</t>
  </si>
  <si>
    <t>Default Incentive used in Prescriptive Sheet (Can be Adjusted for Market Conditions by IESO)</t>
  </si>
  <si>
    <t>Totals</t>
  </si>
  <si>
    <r>
      <t xml:space="preserve">Note2: Incentive amounts were all based on the IESO's preapproved $0.10/kWh and by </t>
    </r>
    <r>
      <rPr>
        <i/>
        <sz val="10"/>
        <color rgb="FF7030A0"/>
        <rFont val="Arial"/>
        <family val="2"/>
      </rPr>
      <t>modus ponens</t>
    </r>
    <r>
      <rPr>
        <sz val="10"/>
        <color rgb="FF7030A0"/>
        <rFont val="Arial"/>
        <family val="2"/>
      </rPr>
      <t xml:space="preserve"> have passed TRC, RIM, B-C tests.</t>
    </r>
  </si>
  <si>
    <t>Measure 3: Install additional Primary Air Receiver Tank(s)</t>
  </si>
  <si>
    <t>Measure 4: Replace Non-Cycling Refrigerated Dryer with Cycling or Thermal Mass Refrigerated Dryer</t>
  </si>
  <si>
    <t>Measure 5: Install Regenerative Dryer with Dewpoint Controlled Regeneration</t>
  </si>
  <si>
    <t>The base case assumes that open pipe or locally fabricated non-commercial nozzles are in use.  The Applicant can mix and match reasonable quantities of engineered nozzles of 1/16", 1/8", 1/4" or 3/8" nominal sizes depending on compressed air system.</t>
  </si>
  <si>
    <t xml:space="preserve">The Applicant can select from EITHER 3 USG, 5 USG or 10 USG per cfm of capacity but NOT MORE THAN ONE choice. </t>
  </si>
  <si>
    <t xml:space="preserve">For non-engineering guidance the "Approximate Additional Receiver Capacity" rule of thumb size is computed.  It is based on the compressor size and existing Primary Receiver volume as entered above by the Applicant.  An allowance of up to an additional 20% volume is available to address the fact that Primary Receiver tanks are manufactured in standard sizes. </t>
  </si>
  <si>
    <t>Total Primary Receiver Storage Capacity (Existing plus Added)                                                      [Pick ONE CHOICE from 3 or 5 or 10 USG/cfm]</t>
  </si>
  <si>
    <t>For the Remaining Measures, enter the Compressor Size (HP) and Existing Primary Receiver Tank Volume (if any) in US Gallons (USG).  Do not include the volume of Secondary Receivers.</t>
  </si>
  <si>
    <t>&lt;&lt; Optional (Enter size of existing Primary Receiver capacity, if any, between the compressor and dryer in US Gallons (USG). This is used for Measure 3 calculation) Do not enter volume of Secondary Receiver(s).</t>
  </si>
  <si>
    <t>allowance factor</t>
  </si>
  <si>
    <t>allowable capacity</t>
  </si>
  <si>
    <t>Actual Incremental US Gallon Volume of Primary Receiver Capacity to be Added  (USG)</t>
  </si>
  <si>
    <t>Make, and Model Number of Dewpoint Controlled Regeneration Dryer</t>
  </si>
  <si>
    <t xml:space="preserve">Dewpoint Dependent </t>
  </si>
  <si>
    <t>TOTAL PARTICIPANT INCENTIVE REQUESTED</t>
  </si>
  <si>
    <t>TOTAL ELIGIBLE COSTS FOR THE PROJECT:</t>
  </si>
  <si>
    <t>For certainty, costs which are not eligible to be included in Eligible Costs include:</t>
  </si>
  <si>
    <t>(i)  any costs that are not third party costs or that are internal costs of the Participant, including costs of the Participant’s labour, service, administration or overhead;</t>
  </si>
  <si>
    <t>(ii)  financing costs of the Participant;</t>
  </si>
  <si>
    <t>(iii)  related insurance costs of the Participant;</t>
  </si>
  <si>
    <t>(iv)  costs associated with post-installation maintenance or service contracts;</t>
  </si>
  <si>
    <t>(v)  costs of spare parts, spare equipment or other inventories;</t>
  </si>
  <si>
    <t>(vi)  purchase or lease of tools for installation of equipment;</t>
  </si>
  <si>
    <t>(vii)  HST; or</t>
  </si>
  <si>
    <t>(viii)  a portion of the costs of Eligible Measures that have been or will be received from financial incentives generally funded by energy ratepayers or tax payers in the Province of Ontario</t>
  </si>
  <si>
    <t>1.  Total Calculated Participant Incentive</t>
  </si>
  <si>
    <t>Name of Applicant:</t>
  </si>
  <si>
    <t>Company Name:</t>
  </si>
  <si>
    <t>Building Address:</t>
  </si>
  <si>
    <t>Warning Message (DO NOT EDIT THIS BLOCK)</t>
  </si>
  <si>
    <t>Revised from 2940 hours</t>
  </si>
  <si>
    <t>Measure Cost</t>
  </si>
  <si>
    <t>Use 80 psig for regulated open blowing pipes (typically observed 20-50 psig)</t>
  </si>
  <si>
    <t>Version 1.0 - Compressed Air Prescriptive Worksheet</t>
  </si>
  <si>
    <t>Enter Compressor/Compressed Air System  Nameplate Size in HP</t>
  </si>
  <si>
    <t>CAWG revised to 4 seconds based on input from CAWG and ESource. LeapFrog typical observed seconds of compressed air release following water discharge (8.5 seconds blowing water +1.5 seconds blowing air on 10 second total cycle)</t>
  </si>
  <si>
    <t>Cycling or Thermal Mass Dryer</t>
  </si>
  <si>
    <t>Regenerative Dryer with Dewpoint Controlled Regeneration</t>
  </si>
  <si>
    <t>Inc. Cost</t>
  </si>
  <si>
    <t>50% Inc. Cost</t>
  </si>
  <si>
    <t xml:space="preserve">Incentive </t>
  </si>
  <si>
    <t>Please include documented proof of existing compressor system size in horsepower</t>
  </si>
  <si>
    <t>Please included documented proof of existing primary receiver capacity</t>
  </si>
  <si>
    <t>The base case assumes a regenerative dryer with timed control for desiccant tower regeneration.  The incentive is towards the purchase of a dewpoint controlled regenerative dryer, or retrofit of an existing regenerative dryer with timed control .  An allowance of up to 20% additional rule of thumb dryer capacity is allowed. Please use the custom incentive track for larger air dryers. Incentive rate is $2.85/CFM to a maximum incentive of $2000.
This measure is eligible where there is an unplanned replacement of recently failed existing equipment under the following conditions:
(i) an Estimated Participant Incentive for this measure that is less than $10,000; and
(ii) an Application is submitted within 45 days following the completion of the project.</t>
  </si>
  <si>
    <t>The base case assumes a non-cycling refrigerated dryer. The incentive is towards the purchase of a cycling or thermal mass refrigerated dryer.  An allowance of up to 20% additional rule of thumb dryer capacity is allowed. Please use the custom incentive track for larger air dryers.
This measure is eligible where there is an unplanned replacement of recently failed existing equipment under the following conditions:
(i) an Estimated Participant Incentive for this measure that is less than $10,000; and
(ii) an Application is submitted within 45 days following the completion of the project.</t>
  </si>
  <si>
    <t>The New Receiver MUST be a PRIMARY Receiver that is located near the compressor before the main distribution network.  Secondary receivers (located close to points of large intermittent use or considerable distance away from the compressor) are ineligible and must use the Custom Incentive track.</t>
  </si>
  <si>
    <r>
      <t>&lt;&lt;</t>
    </r>
    <r>
      <rPr>
        <b/>
        <sz val="10"/>
        <color theme="1"/>
        <rFont val="Arial"/>
        <family val="2"/>
      </rPr>
      <t>Mandatory (Enter compressor size between 1 and 200 HP otherwise remaining measures will not calculate)</t>
    </r>
    <r>
      <rPr>
        <sz val="10"/>
        <color theme="1"/>
        <rFont val="Arial"/>
        <family val="2"/>
      </rPr>
      <t xml:space="preserve"> This is used for the Measure 3, Measure 4 and/or Measure 5 calculations. </t>
    </r>
  </si>
  <si>
    <t xml:space="preserve">Costs which are eligible to be included in determining applicable Participant Incentives must be costs of 3rd party suppliers directly related to the procurement and implementation of the Eligible Measures and are limited to the </t>
  </si>
  <si>
    <t>1. Estimated costs of the equipment purchased and installed</t>
  </si>
  <si>
    <t>2. Estimated costs of labour for the installation of the equipment by suppliers</t>
  </si>
  <si>
    <t>3. Estimated costs to dispose of or decommission the replaced equipment</t>
  </si>
  <si>
    <t>Project Cost Breakdown</t>
  </si>
  <si>
    <t>2. Maximum Allowable Participant Incentive (50% of Total Eligible Costs for the Project)</t>
  </si>
  <si>
    <t>3. Estimated Participant Incentive Amount (based on lesser of 50% of Total Eligible Costs for the Project or Total Calculated Participant Incentive)</t>
  </si>
  <si>
    <t>Version</t>
  </si>
  <si>
    <t>Date</t>
  </si>
  <si>
    <t>Note</t>
  </si>
  <si>
    <t>New comrpessed air worksheet created, with new prescriptive compressed air measures</t>
  </si>
  <si>
    <t>Annual Energy Savings with Additional Primary Receiver</t>
  </si>
  <si>
    <t>Average Demand Savings / Intermediate Calculation</t>
  </si>
  <si>
    <t>Peak kW Savings</t>
  </si>
  <si>
    <t xml:space="preserve">The air compressor (or compressor system) MUST be an Oil injected rotary screw, Load/unload controlled type, and the nominal size between 10 HP and 200 HP.  All other control types or outside the 10-200 HP range, use the Custom incentive  track.    </t>
  </si>
  <si>
    <t>The base case assumes that moisture drains under the control of timers will be replaced by Zero Loss Drains. Zero loss drain on air receiver tanks are an eligible measure. Internal float operated drain valves are not eligible.</t>
  </si>
  <si>
    <t>Wght Avg</t>
  </si>
  <si>
    <t>1/2"  Drain</t>
  </si>
  <si>
    <t>Engineered Nozzles</t>
  </si>
  <si>
    <t>Zero Loss Drains</t>
  </si>
  <si>
    <t>kWh Consumption</t>
  </si>
  <si>
    <t>kW</t>
  </si>
  <si>
    <t>Annual Energy Savings with Cycling Dryer</t>
  </si>
  <si>
    <t>Percent Energy Savings with Cycling Dryer</t>
  </si>
  <si>
    <t>Average Demand Savings</t>
  </si>
  <si>
    <r>
      <t xml:space="preserve">It is the Applicant's responsibility to ensure that all technologies meet applicable Code, Safety Standard and Regulatory requirements for the Province of Ontario.  All products must be legal for sale in Canada. </t>
    </r>
    <r>
      <rPr>
        <strike/>
        <sz val="11"/>
        <color theme="1"/>
        <rFont val="Arial"/>
        <family val="2"/>
      </rPr>
      <t>For measures involving compressed air systems larger than 200 hp capacity (except those involving Zero Loss Drains and/or Engineered Nozzles), please use the Custom approach. Compressed air systems comprising of more than one individual compressors are also eligible if the cumulative size is less than 200 hp.</t>
    </r>
    <r>
      <rPr>
        <sz val="11"/>
        <color theme="1"/>
        <rFont val="Arial"/>
        <family val="2"/>
      </rPr>
      <t xml:space="preserve"> Only reasonable Zero Loss Drains and/or Engineered Nozzle quantities or product sizes matching the Applicant's facility are permitted.
This worksheet applies to the retrofit of existing equipment as well as the purchase and installation of new equipment that is more efficient than what would have been installed if the Participant had not participated in the program, where none previously existed.
</t>
    </r>
    <r>
      <rPr>
        <b/>
        <sz val="11"/>
        <color theme="1"/>
        <rFont val="Arial"/>
        <family val="2"/>
      </rPr>
      <t>INSTRUCTIONS:</t>
    </r>
    <r>
      <rPr>
        <sz val="11"/>
        <color theme="1"/>
        <rFont val="Arial"/>
        <family val="2"/>
      </rPr>
      <t xml:space="preserve">
In order to calculate the Participant Incentive amount, enter the number of units to be installed in the 'Quantity'  or 'Capacity' column and the 'Incentive Amount for Measure' column will automatically populate based on this information.  The model number and manufacturer must also be clearly indicated for each measure in the 'Model #' and 'Manufacturer' columns. The sum of the 'Incentive Amount for Measure' amounts will be displayed in the 'TOTAL PARTICIPANT INCENTIVE REQUESTED' field at the bottom of the worksheet.  
In order to receive your Participant Incentive payment, invoices showing proof of payment must be submitted to the IESO.  It is required that you provide manufacturer technical specification sheets demonstrating that the equipment meets the program requirements.  You may be required to provide additional information in connection with your Project in order for your Application to be approved.  </t>
    </r>
  </si>
  <si>
    <r>
      <t xml:space="preserve">This is a locked, fillable form and not all of the content in this document may be captured by a screen-reading device. If you require additional assistance to complete and submit this form, please contact </t>
    </r>
    <r>
      <rPr>
        <u/>
        <sz val="10"/>
        <color rgb="FF2E813E"/>
        <rFont val="Arial"/>
        <family val="2"/>
      </rPr>
      <t>retrofit@ieso.ca</t>
    </r>
    <r>
      <rPr>
        <sz val="10"/>
        <rFont val="Arial"/>
        <family val="2"/>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</si>
</sst>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0">
    <numFmt numFmtId="8" formatCode="&quot;$&quot;#,##0.00;[Red]\-&quot;$&quot;#,##0.00"/>
    <numFmt numFmtId="44" formatCode="_-&quot;$&quot;* #,##0.00_-;\-&quot;$&quot;* #,##0.00_-;_-&quot;$&quot;* &quot;-&quot;??_-;_-@_-"/>
    <numFmt numFmtId="43" formatCode="_-* #,##0.00_-;\-* #,##0.00_-;_-* &quot;-&quot;??_-;_-@_-"/>
    <numFmt numFmtId="164" formatCode="_(&quot;$&quot;* #,##0.00_);_(&quot;$&quot;* \(#,##0.00\);_(&quot;$&quot;* &quot;-&quot;??_);_(@_)"/>
    <numFmt numFmtId="165" formatCode="_(* #,##0.00_);_(* \(#,##0.00\);_(* &quot;-&quot;??_);_(@_)"/>
    <numFmt numFmtId="166" formatCode="_-* #,##0.0_-;\-* #,##0.0_-;_-* &quot;-&quot;??_-;_-@_-"/>
    <numFmt numFmtId="167" formatCode="_-* #,##0_-;\-* #,##0_-;_-* &quot;-&quot;??_-;_-@_-"/>
    <numFmt numFmtId="168" formatCode="0.0%"/>
    <numFmt numFmtId="169" formatCode="_(&quot;$&quot;* #,##0_);_(&quot;$&quot;* \(#,##0\);_(&quot;$&quot;* &quot;-&quot;??_);_(@_)"/>
    <numFmt numFmtId="170" formatCode="_(* #,##0_);_(* \(#,##0\);_(* &quot;-&quot;??_);_(@_)"/>
    <numFmt numFmtId="171" formatCode="_-* #,##0.000_-;\-* #,##0.000_-;_-* &quot;-&quot;??_-;_-@_-"/>
    <numFmt numFmtId="172" formatCode="[$-409]d/mmm/yy;@"/>
    <numFmt numFmtId="173" formatCode="_(* #,##0.0000_);_(* \(#,##0.0000\);_(* &quot;-&quot;??_);_(@_)"/>
    <numFmt numFmtId="174" formatCode="&quot;$&quot;#,##0.00"/>
    <numFmt numFmtId="175" formatCode="0.0000"/>
    <numFmt numFmtId="176" formatCode="_-* #,##0.0000_-;\-* #,##0.0000_-;_-* &quot;-&quot;??_-;_-@_-"/>
    <numFmt numFmtId="177" formatCode="_(* #,##0.000_);_(* \(#,##0.000\);_(* &quot;-&quot;??_);_(@_)"/>
    <numFmt numFmtId="178" formatCode="0.0000%"/>
    <numFmt numFmtId="179" formatCode="#,##0.0"/>
    <numFmt numFmtId="180" formatCode="#,##0.000"/>
  </numFmts>
  <fonts count="35" x14ac:knownFonts="1">
    <font>
      <sz val="11"/>
      <color theme="1"/>
      <name val="Calibri"/>
      <family val="2"/>
      <scheme val="minor"/>
    </font>
    <font>
      <sz val="11"/>
      <color theme="1"/>
      <name val="Calibri"/>
      <family val="2"/>
      <scheme val="minor"/>
    </font>
    <font>
      <sz val="11"/>
      <name val="Calibri"/>
      <family val="2"/>
      <scheme val="minor"/>
    </font>
    <font>
      <sz val="10"/>
      <color rgb="FF333333"/>
      <name val="Arial"/>
      <family val="2"/>
    </font>
    <font>
      <sz val="10"/>
      <color theme="1"/>
      <name val="Arial"/>
      <family val="2"/>
    </font>
    <font>
      <sz val="10"/>
      <name val="Arial"/>
      <family val="2"/>
    </font>
    <font>
      <b/>
      <sz val="10"/>
      <name val="Arial"/>
      <family val="2"/>
    </font>
    <font>
      <sz val="10"/>
      <color rgb="FF7030A0"/>
      <name val="Arial"/>
      <family val="2"/>
    </font>
    <font>
      <b/>
      <sz val="10"/>
      <color rgb="FF0070C0"/>
      <name val="Arial"/>
      <family val="2"/>
    </font>
    <font>
      <b/>
      <sz val="10"/>
      <color rgb="FF00B050"/>
      <name val="Arial"/>
      <family val="2"/>
    </font>
    <font>
      <b/>
      <sz val="10"/>
      <color theme="1"/>
      <name val="Arial"/>
      <family val="2"/>
    </font>
    <font>
      <i/>
      <sz val="10"/>
      <color rgb="FF7030A0"/>
      <name val="Arial"/>
      <family val="2"/>
    </font>
    <font>
      <b/>
      <sz val="12"/>
      <name val="Arial"/>
      <family val="2"/>
    </font>
    <font>
      <sz val="8"/>
      <name val="Arial"/>
      <family val="2"/>
    </font>
    <font>
      <sz val="8"/>
      <color theme="1"/>
      <name val="Arial"/>
      <family val="2"/>
    </font>
    <font>
      <sz val="8"/>
      <color rgb="FFFF0000"/>
      <name val="Arial"/>
      <family val="2"/>
    </font>
    <font>
      <sz val="10"/>
      <name val="Verdana"/>
      <family val="2"/>
    </font>
    <font>
      <sz val="8"/>
      <color theme="1"/>
      <name val="Calibri"/>
      <family val="2"/>
      <scheme val="minor"/>
    </font>
    <font>
      <b/>
      <i/>
      <sz val="11"/>
      <name val="Calibri"/>
      <family val="2"/>
      <scheme val="minor"/>
    </font>
    <font>
      <sz val="9"/>
      <color theme="1"/>
      <name val="Arial"/>
      <family val="2"/>
    </font>
    <font>
      <b/>
      <sz val="9"/>
      <color theme="1"/>
      <name val="Arial"/>
      <family val="2"/>
    </font>
    <font>
      <sz val="9"/>
      <name val="Arial"/>
      <family val="2"/>
    </font>
    <font>
      <b/>
      <sz val="11"/>
      <name val="Arial"/>
      <family val="2"/>
    </font>
    <font>
      <b/>
      <sz val="9"/>
      <name val="Arial"/>
      <family val="2"/>
    </font>
    <font>
      <sz val="9"/>
      <color theme="1"/>
      <name val="Calibri"/>
      <family val="2"/>
      <scheme val="minor"/>
    </font>
    <font>
      <b/>
      <sz val="11"/>
      <name val="Calibri"/>
      <family val="2"/>
      <scheme val="minor"/>
    </font>
    <font>
      <sz val="11"/>
      <color theme="1"/>
      <name val="Arial"/>
      <family val="2"/>
    </font>
    <font>
      <b/>
      <sz val="11"/>
      <color theme="1"/>
      <name val="Arial"/>
      <family val="2"/>
    </font>
    <font>
      <sz val="12"/>
      <color theme="1"/>
      <name val="Arial"/>
      <family val="2"/>
    </font>
    <font>
      <sz val="11"/>
      <name val="Arial"/>
      <family val="2"/>
    </font>
    <font>
      <b/>
      <sz val="11"/>
      <color theme="1"/>
      <name val="Calibri"/>
      <family val="2"/>
      <scheme val="minor"/>
    </font>
    <font>
      <u/>
      <sz val="11"/>
      <name val="Calibri"/>
      <family val="2"/>
      <scheme val="minor"/>
    </font>
    <font>
      <strike/>
      <sz val="11"/>
      <color theme="1"/>
      <name val="Arial"/>
      <family val="2"/>
    </font>
    <font>
      <u/>
      <sz val="10"/>
      <color theme="10"/>
      <name val="Verdana"/>
      <family val="2"/>
    </font>
    <font>
      <u/>
      <sz val="10"/>
      <color rgb="FF2E813E"/>
      <name val="Arial"/>
      <family val="2"/>
    </font>
  </fonts>
  <fills count="8">
    <fill>
      <patternFill patternType="none"/>
    </fill>
    <fill>
      <patternFill patternType="gray125"/>
    </fill>
    <fill>
      <patternFill patternType="solid">
        <fgColor rgb="FFFFFF00"/>
        <bgColor indexed="64"/>
      </patternFill>
    </fill>
    <fill>
      <patternFill patternType="solid">
        <fgColor indexed="43"/>
        <bgColor indexed="64"/>
      </patternFill>
    </fill>
    <fill>
      <patternFill patternType="solid">
        <fgColor theme="0"/>
        <bgColor indexed="64"/>
      </patternFill>
    </fill>
    <fill>
      <patternFill patternType="solid">
        <fgColor theme="5" tint="0.39997558519241921"/>
        <bgColor indexed="64"/>
      </patternFill>
    </fill>
    <fill>
      <patternFill patternType="solid">
        <fgColor theme="5" tint="0.59999389629810485"/>
        <bgColor indexed="64"/>
      </patternFill>
    </fill>
    <fill>
      <patternFill patternType="solid">
        <fgColor rgb="FF92D050"/>
        <bgColor indexed="64"/>
      </patternFill>
    </fill>
  </fills>
  <borders count="38">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s>
  <cellStyleXfs count="7">
    <xf numFmtId="0" fontId="0" fillId="0" borderId="0"/>
    <xf numFmtId="43"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164" fontId="16" fillId="0" borderId="0" applyFont="0" applyFill="0" applyBorder="0" applyAlignment="0" applyProtection="0"/>
    <xf numFmtId="0" fontId="33" fillId="0" borderId="0" applyNumberFormat="0" applyFill="0" applyBorder="0" applyAlignment="0" applyProtection="0">
      <alignment vertical="top"/>
      <protection locked="0"/>
    </xf>
    <xf numFmtId="0" fontId="16" fillId="0" borderId="0"/>
  </cellStyleXfs>
  <cellXfs count="358">
    <xf numFmtId="0" fontId="0" fillId="0" borderId="0" xfId="0"/>
    <xf numFmtId="0" fontId="5" fillId="0" borderId="0" xfId="0" applyFont="1"/>
    <xf numFmtId="0" fontId="5" fillId="0" borderId="0" xfId="0" applyFont="1" applyBorder="1"/>
    <xf numFmtId="167" fontId="5" fillId="0" borderId="0" xfId="1" applyNumberFormat="1" applyFont="1" applyBorder="1"/>
    <xf numFmtId="166" fontId="5" fillId="0" borderId="0" xfId="1" applyNumberFormat="1" applyFont="1" applyBorder="1"/>
    <xf numFmtId="174" fontId="5" fillId="0" borderId="0" xfId="0" applyNumberFormat="1" applyFont="1" applyBorder="1" applyAlignment="1"/>
    <xf numFmtId="164" fontId="5" fillId="0" borderId="6" xfId="3" applyFont="1" applyBorder="1"/>
    <xf numFmtId="0" fontId="5" fillId="0" borderId="7" xfId="0" applyFont="1" applyBorder="1"/>
    <xf numFmtId="0" fontId="5" fillId="0" borderId="8" xfId="0" applyFont="1" applyBorder="1"/>
    <xf numFmtId="0" fontId="6" fillId="0" borderId="8" xfId="0" applyFont="1" applyBorder="1"/>
    <xf numFmtId="164" fontId="6" fillId="0" borderId="9" xfId="3" applyFont="1" applyBorder="1"/>
    <xf numFmtId="0" fontId="5" fillId="0" borderId="3" xfId="0" applyFont="1" applyBorder="1" applyAlignment="1">
      <alignment wrapText="1"/>
    </xf>
    <xf numFmtId="0" fontId="5" fillId="0" borderId="4" xfId="0" applyFont="1" applyBorder="1" applyAlignment="1">
      <alignment wrapText="1"/>
    </xf>
    <xf numFmtId="0" fontId="5" fillId="0" borderId="2" xfId="0" applyFont="1" applyBorder="1" applyAlignment="1">
      <alignment wrapText="1"/>
    </xf>
    <xf numFmtId="0" fontId="5" fillId="0" borderId="5" xfId="0" applyFont="1" applyBorder="1" applyAlignment="1"/>
    <xf numFmtId="174" fontId="5" fillId="0" borderId="5" xfId="0" applyNumberFormat="1" applyFont="1" applyBorder="1" applyAlignment="1"/>
    <xf numFmtId="0" fontId="5" fillId="0" borderId="14" xfId="0" applyFont="1" applyBorder="1"/>
    <xf numFmtId="167" fontId="5" fillId="3" borderId="1" xfId="1" applyNumberFormat="1" applyFont="1" applyFill="1" applyBorder="1" applyAlignment="1" applyProtection="1">
      <alignment horizontal="center" vertical="center"/>
      <protection locked="0"/>
    </xf>
    <xf numFmtId="43" fontId="2" fillId="0" borderId="0" xfId="1" applyFont="1" applyFill="1" applyBorder="1" applyAlignment="1"/>
    <xf numFmtId="9" fontId="2" fillId="0" borderId="0" xfId="2" applyFont="1" applyFill="1" applyBorder="1" applyAlignment="1"/>
    <xf numFmtId="0" fontId="2" fillId="0" borderId="0" xfId="0" applyFont="1" applyFill="1" applyBorder="1" applyAlignment="1"/>
    <xf numFmtId="168" fontId="2" fillId="0" borderId="0" xfId="2" applyNumberFormat="1" applyFont="1" applyFill="1" applyBorder="1" applyAlignment="1"/>
    <xf numFmtId="166" fontId="2" fillId="0" borderId="0" xfId="1" applyNumberFormat="1" applyFont="1" applyFill="1" applyBorder="1" applyAlignment="1"/>
    <xf numFmtId="9" fontId="2" fillId="0" borderId="0" xfId="2" applyFont="1" applyFill="1" applyBorder="1"/>
    <xf numFmtId="0" fontId="2" fillId="0" borderId="0" xfId="0" applyFont="1" applyFill="1" applyBorder="1"/>
    <xf numFmtId="167" fontId="2" fillId="0" borderId="0" xfId="1" applyNumberFormat="1" applyFont="1" applyFill="1" applyBorder="1"/>
    <xf numFmtId="0" fontId="13" fillId="4" borderId="0" xfId="0" applyFont="1" applyFill="1" applyAlignment="1" applyProtection="1">
      <alignment horizontal="left" vertical="center"/>
    </xf>
    <xf numFmtId="0" fontId="17" fillId="4" borderId="0" xfId="0" applyFont="1" applyFill="1" applyAlignment="1" applyProtection="1">
      <alignment vertical="center"/>
    </xf>
    <xf numFmtId="0" fontId="17" fillId="4" borderId="0" xfId="0" applyFont="1" applyFill="1" applyBorder="1" applyAlignment="1" applyProtection="1">
      <alignment vertical="center"/>
    </xf>
    <xf numFmtId="0" fontId="12" fillId="4" borderId="0" xfId="0" applyFont="1" applyFill="1" applyAlignment="1" applyProtection="1">
      <alignment horizontal="left" vertical="center"/>
    </xf>
    <xf numFmtId="0" fontId="17" fillId="4" borderId="0" xfId="0" applyFont="1" applyFill="1" applyAlignment="1" applyProtection="1">
      <alignment horizontal="left" vertical="center"/>
    </xf>
    <xf numFmtId="0" fontId="6" fillId="2" borderId="1" xfId="0" applyFont="1" applyFill="1" applyBorder="1" applyAlignment="1">
      <alignment wrapText="1"/>
    </xf>
    <xf numFmtId="174" fontId="5" fillId="2" borderId="13" xfId="0" applyNumberFormat="1" applyFont="1" applyFill="1" applyBorder="1"/>
    <xf numFmtId="0" fontId="5" fillId="0" borderId="5" xfId="0" applyFont="1" applyFill="1" applyBorder="1"/>
    <xf numFmtId="0" fontId="5" fillId="0" borderId="0" xfId="0" applyFont="1" applyFill="1" applyBorder="1"/>
    <xf numFmtId="0" fontId="5" fillId="0" borderId="6" xfId="0" applyFont="1" applyFill="1" applyBorder="1"/>
    <xf numFmtId="43" fontId="5" fillId="0" borderId="5" xfId="1" applyFont="1" applyFill="1" applyBorder="1"/>
    <xf numFmtId="0" fontId="4" fillId="0" borderId="0" xfId="0" applyFont="1" applyFill="1" applyBorder="1"/>
    <xf numFmtId="0" fontId="5" fillId="0" borderId="7" xfId="0" applyFont="1" applyFill="1" applyBorder="1"/>
    <xf numFmtId="0" fontId="5" fillId="0" borderId="8" xfId="0" applyFont="1" applyFill="1" applyBorder="1"/>
    <xf numFmtId="0" fontId="5" fillId="0" borderId="9" xfId="0" applyFont="1" applyFill="1" applyBorder="1"/>
    <xf numFmtId="167" fontId="6" fillId="2" borderId="8" xfId="1" applyNumberFormat="1" applyFont="1" applyFill="1" applyBorder="1"/>
    <xf numFmtId="166" fontId="6" fillId="2" borderId="8" xfId="1" applyNumberFormat="1" applyFont="1" applyFill="1" applyBorder="1"/>
    <xf numFmtId="165" fontId="2" fillId="0" borderId="0" xfId="0" applyNumberFormat="1" applyFont="1" applyFill="1" applyBorder="1" applyAlignment="1"/>
    <xf numFmtId="9" fontId="2" fillId="0" borderId="0" xfId="0" applyNumberFormat="1" applyFont="1" applyFill="1" applyBorder="1" applyAlignment="1"/>
    <xf numFmtId="43" fontId="2" fillId="0" borderId="0" xfId="1" applyNumberFormat="1" applyFont="1" applyFill="1" applyBorder="1" applyAlignment="1"/>
    <xf numFmtId="167" fontId="2" fillId="0" borderId="0" xfId="1" applyNumberFormat="1" applyFont="1" applyFill="1" applyBorder="1" applyAlignment="1"/>
    <xf numFmtId="0" fontId="2" fillId="0" borderId="0" xfId="0" applyFont="1" applyFill="1" applyBorder="1" applyAlignment="1">
      <alignment wrapText="1"/>
    </xf>
    <xf numFmtId="43" fontId="2" fillId="0" borderId="0" xfId="0" applyNumberFormat="1" applyFont="1" applyFill="1" applyBorder="1" applyAlignment="1"/>
    <xf numFmtId="164" fontId="2" fillId="0" borderId="0" xfId="3" applyFont="1" applyFill="1" applyBorder="1" applyAlignment="1"/>
    <xf numFmtId="167" fontId="2" fillId="0" borderId="0" xfId="0" applyNumberFormat="1" applyFont="1" applyFill="1" applyBorder="1" applyAlignment="1"/>
    <xf numFmtId="172" fontId="2" fillId="0" borderId="0" xfId="0" applyNumberFormat="1" applyFont="1" applyFill="1" applyBorder="1"/>
    <xf numFmtId="173" fontId="2" fillId="0" borderId="0" xfId="1" applyNumberFormat="1" applyFont="1" applyFill="1" applyBorder="1"/>
    <xf numFmtId="170" fontId="2" fillId="0" borderId="0" xfId="1" applyNumberFormat="1" applyFont="1" applyFill="1" applyBorder="1"/>
    <xf numFmtId="170" fontId="2" fillId="0" borderId="0" xfId="0" applyNumberFormat="1" applyFont="1" applyFill="1" applyBorder="1"/>
    <xf numFmtId="168" fontId="2" fillId="0" borderId="0" xfId="2" applyNumberFormat="1" applyFont="1" applyFill="1" applyBorder="1"/>
    <xf numFmtId="165" fontId="2" fillId="0" borderId="0" xfId="0" applyNumberFormat="1" applyFont="1" applyFill="1" applyBorder="1"/>
    <xf numFmtId="43" fontId="2" fillId="0" borderId="0" xfId="1" applyFont="1" applyFill="1" applyBorder="1"/>
    <xf numFmtId="0" fontId="2" fillId="5" borderId="0" xfId="0" applyFont="1" applyFill="1" applyBorder="1" applyAlignment="1"/>
    <xf numFmtId="0" fontId="18" fillId="0" borderId="0" xfId="0" applyFont="1" applyFill="1" applyBorder="1" applyAlignment="1"/>
    <xf numFmtId="164" fontId="21" fillId="3" borderId="19" xfId="4" applyFont="1" applyFill="1" applyBorder="1" applyAlignment="1" applyProtection="1">
      <alignment horizontal="center" vertical="center"/>
      <protection locked="0"/>
    </xf>
    <xf numFmtId="167" fontId="21" fillId="3" borderId="15" xfId="1" applyNumberFormat="1" applyFont="1" applyFill="1" applyBorder="1" applyAlignment="1" applyProtection="1">
      <alignment horizontal="center" vertical="center"/>
      <protection locked="0"/>
    </xf>
    <xf numFmtId="164" fontId="21" fillId="3" borderId="21" xfId="4" applyFont="1" applyFill="1" applyBorder="1" applyAlignment="1" applyProtection="1">
      <alignment horizontal="center" vertical="center"/>
      <protection locked="0"/>
    </xf>
    <xf numFmtId="167" fontId="21" fillId="3" borderId="22" xfId="1" applyNumberFormat="1" applyFont="1" applyFill="1" applyBorder="1" applyAlignment="1" applyProtection="1">
      <alignment horizontal="center" vertical="center"/>
      <protection locked="0"/>
    </xf>
    <xf numFmtId="0" fontId="23" fillId="4" borderId="0" xfId="0" applyFont="1" applyFill="1" applyAlignment="1" applyProtection="1">
      <alignment horizontal="left" vertical="center"/>
    </xf>
    <xf numFmtId="0" fontId="21" fillId="4" borderId="0" xfId="0" applyFont="1" applyFill="1" applyAlignment="1" applyProtection="1">
      <alignment horizontal="left" vertical="center"/>
    </xf>
    <xf numFmtId="0" fontId="24" fillId="4" borderId="0" xfId="0" applyFont="1" applyFill="1" applyAlignment="1" applyProtection="1">
      <alignment horizontal="left" vertical="center"/>
    </xf>
    <xf numFmtId="164" fontId="21" fillId="4" borderId="15" xfId="4" applyFont="1" applyFill="1" applyBorder="1" applyAlignment="1" applyProtection="1">
      <alignment horizontal="left" vertical="center"/>
    </xf>
    <xf numFmtId="164" fontId="23" fillId="4" borderId="15" xfId="0" applyNumberFormat="1" applyFont="1" applyFill="1" applyBorder="1" applyAlignment="1" applyProtection="1">
      <alignment horizontal="left" vertical="center"/>
    </xf>
    <xf numFmtId="174" fontId="5" fillId="6" borderId="13" xfId="0" applyNumberFormat="1" applyFont="1" applyFill="1" applyBorder="1"/>
    <xf numFmtId="175" fontId="2" fillId="0" borderId="0" xfId="0" applyNumberFormat="1" applyFont="1" applyFill="1" applyBorder="1" applyAlignment="1"/>
    <xf numFmtId="44" fontId="2" fillId="0" borderId="0" xfId="0" applyNumberFormat="1" applyFont="1" applyFill="1" applyBorder="1" applyAlignment="1"/>
    <xf numFmtId="174" fontId="5" fillId="0" borderId="0" xfId="0" applyNumberFormat="1" applyFont="1"/>
    <xf numFmtId="167" fontId="5" fillId="0" borderId="0" xfId="1" applyNumberFormat="1" applyFont="1"/>
    <xf numFmtId="171" fontId="2" fillId="0" borderId="0" xfId="1" applyNumberFormat="1" applyFont="1" applyFill="1" applyBorder="1" applyAlignment="1"/>
    <xf numFmtId="0" fontId="25" fillId="0" borderId="0" xfId="0" applyFont="1" applyFill="1" applyBorder="1" applyAlignment="1"/>
    <xf numFmtId="8" fontId="2" fillId="0" borderId="0" xfId="0" applyNumberFormat="1" applyFont="1" applyFill="1" applyBorder="1" applyAlignment="1"/>
    <xf numFmtId="0" fontId="5" fillId="4" borderId="0" xfId="0" applyFont="1" applyFill="1" applyAlignment="1" applyProtection="1">
      <alignment horizontal="left" vertical="center"/>
    </xf>
    <xf numFmtId="0" fontId="16" fillId="4" borderId="0" xfId="0" applyFont="1" applyFill="1" applyBorder="1" applyAlignment="1" applyProtection="1">
      <alignment horizontal="left" vertical="center"/>
    </xf>
    <xf numFmtId="0" fontId="6" fillId="4" borderId="0" xfId="0" applyFont="1" applyFill="1" applyAlignment="1" applyProtection="1">
      <alignment horizontal="left" vertical="center"/>
    </xf>
    <xf numFmtId="0" fontId="5" fillId="4" borderId="0" xfId="0" applyFont="1" applyFill="1" applyBorder="1" applyAlignment="1" applyProtection="1">
      <alignment vertical="center" wrapText="1"/>
    </xf>
    <xf numFmtId="0" fontId="2" fillId="4" borderId="0" xfId="0" applyFont="1" applyFill="1" applyAlignment="1" applyProtection="1">
      <alignment vertical="center"/>
    </xf>
    <xf numFmtId="0" fontId="5" fillId="4" borderId="0" xfId="0" applyFont="1" applyFill="1" applyAlignment="1" applyProtection="1">
      <alignment vertical="center"/>
    </xf>
    <xf numFmtId="0" fontId="6" fillId="4" borderId="0" xfId="0" applyFont="1" applyFill="1" applyBorder="1" applyAlignment="1" applyProtection="1">
      <alignment horizontal="left" vertical="center" wrapText="1"/>
    </xf>
    <xf numFmtId="164" fontId="6" fillId="4" borderId="0" xfId="4" applyFont="1" applyFill="1" applyBorder="1" applyAlignment="1" applyProtection="1">
      <alignment horizontal="center" vertical="center"/>
    </xf>
    <xf numFmtId="0" fontId="29" fillId="4" borderId="0" xfId="0" applyFont="1" applyFill="1" applyAlignment="1" applyProtection="1">
      <alignment horizontal="left" vertical="center"/>
    </xf>
    <xf numFmtId="164" fontId="5" fillId="3" borderId="15" xfId="3" applyFont="1" applyFill="1" applyBorder="1" applyAlignment="1" applyProtection="1">
      <alignment horizontal="center" vertical="center"/>
      <protection locked="0"/>
    </xf>
    <xf numFmtId="0" fontId="5" fillId="4" borderId="0" xfId="0" applyFont="1" applyFill="1" applyBorder="1" applyAlignment="1" applyProtection="1">
      <alignment vertical="center"/>
    </xf>
    <xf numFmtId="0" fontId="2" fillId="4" borderId="0" xfId="0" applyFont="1" applyFill="1" applyBorder="1" applyAlignment="1" applyProtection="1">
      <alignment vertical="center"/>
    </xf>
    <xf numFmtId="0" fontId="29" fillId="0" borderId="0" xfId="0" applyFont="1" applyFill="1" applyAlignment="1">
      <alignment wrapText="1"/>
    </xf>
    <xf numFmtId="15" fontId="0" fillId="0" borderId="0" xfId="0" applyNumberFormat="1"/>
    <xf numFmtId="0" fontId="4" fillId="4" borderId="0" xfId="0" applyFont="1" applyFill="1" applyProtection="1"/>
    <xf numFmtId="0" fontId="4" fillId="0" borderId="0" xfId="0" applyFont="1" applyProtection="1"/>
    <xf numFmtId="167" fontId="7" fillId="0" borderId="0" xfId="1" applyNumberFormat="1" applyFont="1" applyProtection="1"/>
    <xf numFmtId="166" fontId="7" fillId="0" borderId="0" xfId="1" applyNumberFormat="1" applyFont="1" applyProtection="1"/>
    <xf numFmtId="0" fontId="4" fillId="4" borderId="0" xfId="0" applyFont="1" applyFill="1" applyAlignment="1" applyProtection="1">
      <alignment wrapText="1"/>
    </xf>
    <xf numFmtId="0" fontId="8" fillId="4" borderId="0" xfId="0" applyFont="1" applyFill="1" applyAlignment="1" applyProtection="1">
      <alignment horizontal="left" wrapText="1"/>
    </xf>
    <xf numFmtId="0" fontId="9" fillId="0" borderId="0" xfId="0" applyFont="1" applyProtection="1"/>
    <xf numFmtId="0" fontId="22" fillId="4" borderId="10" xfId="0" applyFont="1" applyFill="1" applyBorder="1" applyProtection="1"/>
    <xf numFmtId="0" fontId="4" fillId="4" borderId="11" xfId="0" applyFont="1" applyFill="1" applyBorder="1" applyProtection="1"/>
    <xf numFmtId="0" fontId="8" fillId="4" borderId="12" xfId="0" applyFont="1" applyFill="1" applyBorder="1" applyAlignment="1" applyProtection="1">
      <alignment horizontal="left" wrapText="1"/>
    </xf>
    <xf numFmtId="0" fontId="5" fillId="4" borderId="5" xfId="0" applyFont="1" applyFill="1" applyBorder="1" applyAlignment="1" applyProtection="1">
      <alignment horizontal="left" wrapText="1"/>
    </xf>
    <xf numFmtId="0" fontId="5" fillId="4" borderId="0" xfId="0" applyFont="1" applyFill="1" applyBorder="1" applyAlignment="1" applyProtection="1">
      <alignment horizontal="left" wrapText="1"/>
    </xf>
    <xf numFmtId="0" fontId="5" fillId="4" borderId="6" xfId="0" applyFont="1" applyFill="1" applyBorder="1" applyAlignment="1" applyProtection="1">
      <alignment horizontal="left" wrapText="1"/>
    </xf>
    <xf numFmtId="0" fontId="20" fillId="4" borderId="16" xfId="0" applyFont="1" applyFill="1" applyBorder="1" applyAlignment="1" applyProtection="1">
      <alignment wrapText="1"/>
    </xf>
    <xf numFmtId="0" fontId="20" fillId="4" borderId="17" xfId="0" applyFont="1" applyFill="1" applyBorder="1" applyAlignment="1" applyProtection="1">
      <alignment wrapText="1"/>
    </xf>
    <xf numFmtId="0" fontId="20" fillId="4" borderId="18" xfId="0" applyFont="1" applyFill="1" applyBorder="1" applyAlignment="1" applyProtection="1">
      <alignment wrapText="1"/>
    </xf>
    <xf numFmtId="0" fontId="4" fillId="4" borderId="0" xfId="0" applyFont="1" applyFill="1" applyBorder="1" applyProtection="1"/>
    <xf numFmtId="0" fontId="8" fillId="4" borderId="6" xfId="0" applyFont="1" applyFill="1" applyBorder="1" applyAlignment="1" applyProtection="1">
      <alignment horizontal="left" wrapText="1"/>
    </xf>
    <xf numFmtId="174" fontId="19" fillId="0" borderId="22" xfId="3" applyNumberFormat="1" applyFont="1" applyBorder="1" applyProtection="1"/>
    <xf numFmtId="174" fontId="19" fillId="0" borderId="23" xfId="3" applyNumberFormat="1" applyFont="1" applyBorder="1" applyProtection="1"/>
    <xf numFmtId="0" fontId="4" fillId="0" borderId="8" xfId="0" applyFont="1" applyBorder="1" applyProtection="1"/>
    <xf numFmtId="0" fontId="8" fillId="4" borderId="9" xfId="0" applyFont="1" applyFill="1" applyBorder="1" applyAlignment="1" applyProtection="1">
      <alignment horizontal="left" wrapText="1"/>
    </xf>
    <xf numFmtId="0" fontId="8" fillId="4" borderId="5" xfId="0" applyFont="1" applyFill="1" applyBorder="1" applyProtection="1"/>
    <xf numFmtId="0" fontId="20" fillId="0" borderId="16" xfId="0" applyFont="1" applyBorder="1" applyAlignment="1" applyProtection="1">
      <alignment wrapText="1"/>
    </xf>
    <xf numFmtId="0" fontId="20" fillId="0" borderId="17" xfId="0" applyFont="1" applyBorder="1" applyAlignment="1" applyProtection="1">
      <alignment wrapText="1"/>
    </xf>
    <xf numFmtId="0" fontId="20" fillId="0" borderId="18" xfId="0" applyFont="1" applyBorder="1" applyAlignment="1" applyProtection="1">
      <alignment wrapText="1"/>
    </xf>
    <xf numFmtId="0" fontId="19" fillId="0" borderId="15" xfId="0" applyFont="1" applyBorder="1" applyProtection="1"/>
    <xf numFmtId="174" fontId="19" fillId="0" borderId="15" xfId="3" applyNumberFormat="1" applyFont="1" applyFill="1" applyBorder="1" applyProtection="1"/>
    <xf numFmtId="174" fontId="19" fillId="0" borderId="20" xfId="3" applyNumberFormat="1" applyFont="1" applyBorder="1" applyProtection="1"/>
    <xf numFmtId="164" fontId="3" fillId="4" borderId="0" xfId="3" applyFont="1" applyFill="1" applyProtection="1"/>
    <xf numFmtId="0" fontId="19" fillId="0" borderId="22" xfId="0" applyFont="1" applyBorder="1" applyProtection="1"/>
    <xf numFmtId="174" fontId="19" fillId="0" borderId="22" xfId="3" applyNumberFormat="1" applyFont="1" applyFill="1" applyBorder="1" applyProtection="1"/>
    <xf numFmtId="0" fontId="4" fillId="4" borderId="5" xfId="0" applyFont="1" applyFill="1" applyBorder="1" applyProtection="1"/>
    <xf numFmtId="0" fontId="4" fillId="4" borderId="6" xfId="0" applyFont="1" applyFill="1" applyBorder="1" applyProtection="1"/>
    <xf numFmtId="0" fontId="10" fillId="4" borderId="5" xfId="0" applyFont="1" applyFill="1" applyBorder="1" applyAlignment="1" applyProtection="1">
      <alignment wrapText="1"/>
    </xf>
    <xf numFmtId="0" fontId="14" fillId="4" borderId="0" xfId="0" applyFont="1" applyFill="1" applyBorder="1" applyAlignment="1" applyProtection="1">
      <alignment horizontal="left" vertical="center" wrapText="1"/>
    </xf>
    <xf numFmtId="0" fontId="14" fillId="4" borderId="6" xfId="0" applyFont="1" applyFill="1" applyBorder="1" applyAlignment="1" applyProtection="1">
      <alignment horizontal="left" vertical="center" wrapText="1"/>
    </xf>
    <xf numFmtId="0" fontId="10" fillId="4" borderId="5" xfId="0" applyFont="1" applyFill="1" applyBorder="1" applyProtection="1"/>
    <xf numFmtId="0" fontId="10" fillId="0" borderId="0" xfId="0" applyFont="1" applyBorder="1" applyProtection="1"/>
    <xf numFmtId="0" fontId="12" fillId="4" borderId="5" xfId="0" applyFont="1" applyFill="1" applyBorder="1" applyAlignment="1" applyProtection="1"/>
    <xf numFmtId="0" fontId="23" fillId="4" borderId="17" xfId="0" applyFont="1" applyFill="1" applyBorder="1" applyAlignment="1" applyProtection="1">
      <alignment wrapText="1"/>
    </xf>
    <xf numFmtId="0" fontId="10" fillId="4" borderId="6" xfId="0" applyFont="1" applyFill="1" applyBorder="1" applyAlignment="1" applyProtection="1">
      <alignment wrapText="1"/>
    </xf>
    <xf numFmtId="0" fontId="10" fillId="4" borderId="0" xfId="0" applyFont="1" applyFill="1" applyBorder="1" applyAlignment="1" applyProtection="1">
      <alignment wrapText="1"/>
    </xf>
    <xf numFmtId="0" fontId="19" fillId="0" borderId="19" xfId="0" applyFont="1" applyBorder="1" applyProtection="1"/>
    <xf numFmtId="167" fontId="19" fillId="0" borderId="15" xfId="0" applyNumberFormat="1" applyFont="1" applyBorder="1" applyProtection="1"/>
    <xf numFmtId="174" fontId="21" fillId="0" borderId="15" xfId="0" applyNumberFormat="1" applyFont="1" applyBorder="1" applyProtection="1"/>
    <xf numFmtId="0" fontId="15" fillId="4" borderId="6" xfId="0" applyFont="1" applyFill="1" applyBorder="1" applyProtection="1"/>
    <xf numFmtId="164" fontId="4" fillId="4" borderId="0" xfId="3" applyFont="1" applyFill="1" applyBorder="1" applyProtection="1"/>
    <xf numFmtId="0" fontId="19" fillId="0" borderId="21" xfId="0" applyFont="1" applyBorder="1" applyProtection="1"/>
    <xf numFmtId="167" fontId="19" fillId="0" borderId="22" xfId="0" applyNumberFormat="1" applyFont="1" applyBorder="1" applyProtection="1"/>
    <xf numFmtId="174" fontId="21" fillId="0" borderId="22" xfId="0" applyNumberFormat="1" applyFont="1" applyBorder="1" applyProtection="1"/>
    <xf numFmtId="0" fontId="5" fillId="4" borderId="0" xfId="0" applyFont="1" applyFill="1" applyBorder="1" applyProtection="1"/>
    <xf numFmtId="0" fontId="15" fillId="4" borderId="0" xfId="0" applyFont="1" applyFill="1" applyBorder="1" applyProtection="1"/>
    <xf numFmtId="0" fontId="12" fillId="4" borderId="5" xfId="0" applyFont="1" applyFill="1" applyBorder="1" applyProtection="1"/>
    <xf numFmtId="174" fontId="19" fillId="0" borderId="22" xfId="0" applyNumberFormat="1" applyFont="1" applyBorder="1" applyProtection="1"/>
    <xf numFmtId="164" fontId="4" fillId="4" borderId="6" xfId="3" applyFont="1" applyFill="1" applyBorder="1" applyProtection="1"/>
    <xf numFmtId="169" fontId="4" fillId="4" borderId="0" xfId="3" applyNumberFormat="1" applyFont="1" applyFill="1" applyBorder="1" applyProtection="1"/>
    <xf numFmtId="0" fontId="4" fillId="4" borderId="7" xfId="0" applyFont="1" applyFill="1" applyBorder="1" applyProtection="1"/>
    <xf numFmtId="0" fontId="4" fillId="4" borderId="8" xfId="0" applyFont="1" applyFill="1" applyBorder="1" applyProtection="1"/>
    <xf numFmtId="0" fontId="15" fillId="4" borderId="8" xfId="0" applyFont="1" applyFill="1" applyBorder="1" applyAlignment="1" applyProtection="1">
      <alignment vertical="top"/>
    </xf>
    <xf numFmtId="0" fontId="4" fillId="4" borderId="9" xfId="0" applyFont="1" applyFill="1" applyBorder="1" applyProtection="1"/>
    <xf numFmtId="174" fontId="20" fillId="4" borderId="1" xfId="0" applyNumberFormat="1" applyFont="1" applyFill="1" applyBorder="1" applyAlignment="1" applyProtection="1">
      <alignment horizontal="right" vertical="center"/>
    </xf>
    <xf numFmtId="169" fontId="14" fillId="4" borderId="0" xfId="3" applyNumberFormat="1" applyFont="1" applyFill="1" applyBorder="1" applyProtection="1"/>
    <xf numFmtId="0" fontId="2" fillId="4" borderId="0" xfId="0" applyFont="1" applyFill="1" applyBorder="1" applyAlignment="1" applyProtection="1">
      <alignment vertical="center" wrapText="1"/>
    </xf>
    <xf numFmtId="164" fontId="5" fillId="4" borderId="15" xfId="3" applyFont="1" applyFill="1" applyBorder="1" applyAlignment="1" applyProtection="1">
      <alignment horizontal="center" vertical="center"/>
    </xf>
    <xf numFmtId="0" fontId="5" fillId="4" borderId="0" xfId="0" applyFont="1" applyFill="1" applyProtection="1"/>
    <xf numFmtId="167" fontId="5" fillId="4" borderId="0" xfId="1" applyNumberFormat="1" applyFont="1" applyFill="1" applyProtection="1"/>
    <xf numFmtId="166" fontId="5" fillId="4" borderId="0" xfId="1" applyNumberFormat="1" applyFont="1" applyFill="1" applyProtection="1"/>
    <xf numFmtId="0" fontId="30" fillId="0" borderId="0" xfId="0" applyFont="1"/>
    <xf numFmtId="176" fontId="2" fillId="7" borderId="0" xfId="1" applyNumberFormat="1" applyFont="1" applyFill="1" applyBorder="1" applyAlignment="1"/>
    <xf numFmtId="171" fontId="2" fillId="7" borderId="0" xfId="1" applyNumberFormat="1" applyFont="1" applyFill="1" applyBorder="1" applyAlignment="1"/>
    <xf numFmtId="164" fontId="21" fillId="4" borderId="15" xfId="3" applyFont="1" applyFill="1" applyBorder="1" applyAlignment="1" applyProtection="1">
      <alignment horizontal="left" vertical="center"/>
    </xf>
    <xf numFmtId="178" fontId="2" fillId="0" borderId="0" xfId="2" applyNumberFormat="1" applyFont="1" applyFill="1" applyBorder="1" applyAlignment="1"/>
    <xf numFmtId="3" fontId="2" fillId="0" borderId="0" xfId="0" applyNumberFormat="1" applyFont="1" applyFill="1" applyBorder="1" applyAlignment="1"/>
    <xf numFmtId="178" fontId="2" fillId="0" borderId="0" xfId="0" applyNumberFormat="1" applyFont="1" applyFill="1" applyBorder="1" applyAlignment="1"/>
    <xf numFmtId="0" fontId="2" fillId="0" borderId="0" xfId="0" applyFont="1" applyFill="1" applyBorder="1" applyAlignment="1">
      <alignment horizontal="center" wrapText="1"/>
    </xf>
    <xf numFmtId="0" fontId="2" fillId="0" borderId="25" xfId="0" applyFont="1" applyFill="1" applyBorder="1" applyAlignment="1"/>
    <xf numFmtId="0" fontId="2" fillId="0" borderId="27" xfId="0" applyFont="1" applyFill="1" applyBorder="1" applyAlignment="1"/>
    <xf numFmtId="0" fontId="2" fillId="0" borderId="29" xfId="0" applyFont="1" applyFill="1" applyBorder="1" applyAlignment="1"/>
    <xf numFmtId="0" fontId="2" fillId="0" borderId="31" xfId="0" applyFont="1" applyFill="1" applyBorder="1" applyAlignment="1"/>
    <xf numFmtId="0" fontId="2" fillId="0" borderId="15" xfId="0" applyFont="1" applyFill="1" applyBorder="1" applyAlignment="1"/>
    <xf numFmtId="0" fontId="2" fillId="0" borderId="32" xfId="0" applyFont="1" applyFill="1" applyBorder="1" applyAlignment="1"/>
    <xf numFmtId="0" fontId="2" fillId="0" borderId="33" xfId="0" applyFont="1" applyFill="1" applyBorder="1" applyAlignment="1"/>
    <xf numFmtId="0" fontId="2" fillId="0" borderId="24" xfId="0" applyFont="1" applyFill="1" applyBorder="1" applyAlignment="1"/>
    <xf numFmtId="168" fontId="2" fillId="0" borderId="24" xfId="2" applyNumberFormat="1" applyFont="1" applyFill="1" applyBorder="1" applyAlignment="1"/>
    <xf numFmtId="166" fontId="2" fillId="0" borderId="24" xfId="1" applyNumberFormat="1" applyFont="1" applyFill="1" applyBorder="1" applyAlignment="1"/>
    <xf numFmtId="43" fontId="2" fillId="0" borderId="37" xfId="1" applyNumberFormat="1" applyFont="1" applyFill="1" applyBorder="1" applyAlignment="1"/>
    <xf numFmtId="43" fontId="2" fillId="0" borderId="33" xfId="1" applyNumberFormat="1" applyFont="1" applyFill="1" applyBorder="1" applyAlignment="1"/>
    <xf numFmtId="0" fontId="2" fillId="0" borderId="37" xfId="0" applyFont="1" applyFill="1" applyBorder="1" applyAlignment="1"/>
    <xf numFmtId="43" fontId="2" fillId="0" borderId="24" xfId="1" applyFont="1" applyFill="1" applyBorder="1" applyAlignment="1"/>
    <xf numFmtId="0" fontId="2" fillId="0" borderId="26" xfId="0" applyFont="1" applyFill="1" applyBorder="1" applyAlignment="1">
      <alignment horizontal="center"/>
    </xf>
    <xf numFmtId="0" fontId="2" fillId="0" borderId="25" xfId="0" applyFont="1" applyFill="1" applyBorder="1" applyAlignment="1">
      <alignment horizontal="center"/>
    </xf>
    <xf numFmtId="0" fontId="2" fillId="0" borderId="0" xfId="0" applyFont="1" applyFill="1" applyBorder="1" applyAlignment="1">
      <alignment horizontal="center"/>
    </xf>
    <xf numFmtId="9" fontId="2" fillId="0" borderId="15" xfId="0" applyNumberFormat="1" applyFont="1" applyFill="1" applyBorder="1" applyAlignment="1">
      <alignment horizontal="center"/>
    </xf>
    <xf numFmtId="168" fontId="2" fillId="0" borderId="15" xfId="2" applyNumberFormat="1" applyFont="1" applyFill="1" applyBorder="1" applyAlignment="1">
      <alignment horizontal="center" vertical="center"/>
    </xf>
    <xf numFmtId="0" fontId="2" fillId="0" borderId="15" xfId="0" applyFont="1" applyFill="1" applyBorder="1" applyAlignment="1">
      <alignment horizontal="center"/>
    </xf>
    <xf numFmtId="168" fontId="2" fillId="0" borderId="0" xfId="2" applyNumberFormat="1" applyFont="1" applyFill="1" applyBorder="1" applyAlignment="1">
      <alignment horizontal="center"/>
    </xf>
    <xf numFmtId="168" fontId="2" fillId="0" borderId="32" xfId="2" applyNumberFormat="1" applyFont="1" applyFill="1" applyBorder="1" applyAlignment="1">
      <alignment horizontal="center"/>
    </xf>
    <xf numFmtId="168" fontId="2" fillId="0" borderId="24" xfId="2" applyNumberFormat="1" applyFont="1" applyFill="1" applyBorder="1" applyAlignment="1">
      <alignment horizontal="center"/>
    </xf>
    <xf numFmtId="168" fontId="2" fillId="0" borderId="33" xfId="2" applyNumberFormat="1" applyFont="1" applyFill="1" applyBorder="1" applyAlignment="1">
      <alignment horizontal="center"/>
    </xf>
    <xf numFmtId="9" fontId="2" fillId="0" borderId="26" xfId="0" applyNumberFormat="1" applyFont="1" applyFill="1" applyBorder="1" applyAlignment="1">
      <alignment horizontal="center"/>
    </xf>
    <xf numFmtId="4" fontId="2" fillId="0" borderId="0" xfId="1" applyNumberFormat="1" applyFont="1" applyFill="1" applyBorder="1" applyAlignment="1">
      <alignment horizontal="center"/>
    </xf>
    <xf numFmtId="4" fontId="2" fillId="0" borderId="0" xfId="0" applyNumberFormat="1" applyFont="1" applyFill="1" applyBorder="1" applyAlignment="1">
      <alignment horizontal="center"/>
    </xf>
    <xf numFmtId="4" fontId="2" fillId="0" borderId="24" xfId="1" applyNumberFormat="1" applyFont="1" applyFill="1" applyBorder="1" applyAlignment="1">
      <alignment horizontal="center"/>
    </xf>
    <xf numFmtId="4" fontId="2" fillId="0" borderId="24" xfId="0" applyNumberFormat="1" applyFont="1" applyFill="1" applyBorder="1" applyAlignment="1">
      <alignment horizontal="center"/>
    </xf>
    <xf numFmtId="179" fontId="2" fillId="0" borderId="0" xfId="1" applyNumberFormat="1" applyFont="1" applyFill="1" applyBorder="1" applyAlignment="1">
      <alignment horizontal="center"/>
    </xf>
    <xf numFmtId="179" fontId="2" fillId="0" borderId="0" xfId="0" applyNumberFormat="1" applyFont="1" applyFill="1" applyBorder="1" applyAlignment="1">
      <alignment horizontal="center"/>
    </xf>
    <xf numFmtId="179" fontId="2" fillId="0" borderId="24" xfId="1" applyNumberFormat="1" applyFont="1" applyFill="1" applyBorder="1" applyAlignment="1">
      <alignment horizontal="center"/>
    </xf>
    <xf numFmtId="179" fontId="2" fillId="0" borderId="24" xfId="0" applyNumberFormat="1" applyFont="1" applyFill="1" applyBorder="1" applyAlignment="1">
      <alignment horizontal="center"/>
    </xf>
    <xf numFmtId="4" fontId="2" fillId="0" borderId="37" xfId="0" applyNumberFormat="1" applyFont="1" applyFill="1" applyBorder="1" applyAlignment="1">
      <alignment horizontal="center"/>
    </xf>
    <xf numFmtId="4" fontId="2" fillId="0" borderId="32" xfId="0" applyNumberFormat="1" applyFont="1" applyFill="1" applyBorder="1" applyAlignment="1">
      <alignment horizontal="center"/>
    </xf>
    <xf numFmtId="4" fontId="2" fillId="0" borderId="32" xfId="1" applyNumberFormat="1" applyFont="1" applyFill="1" applyBorder="1" applyAlignment="1">
      <alignment horizontal="center"/>
    </xf>
    <xf numFmtId="4" fontId="2" fillId="0" borderId="33" xfId="1" applyNumberFormat="1" applyFont="1" applyFill="1" applyBorder="1" applyAlignment="1">
      <alignment horizontal="center"/>
    </xf>
    <xf numFmtId="9" fontId="2" fillId="0" borderId="24" xfId="2" applyFont="1" applyFill="1" applyBorder="1" applyAlignment="1">
      <alignment horizontal="center"/>
    </xf>
    <xf numFmtId="168" fontId="2" fillId="0" borderId="0" xfId="0" applyNumberFormat="1" applyFont="1" applyFill="1" applyBorder="1" applyAlignment="1">
      <alignment horizontal="center"/>
    </xf>
    <xf numFmtId="168" fontId="2" fillId="0" borderId="24" xfId="0" applyNumberFormat="1" applyFont="1" applyFill="1" applyBorder="1" applyAlignment="1">
      <alignment horizontal="center"/>
    </xf>
    <xf numFmtId="9" fontId="2" fillId="0" borderId="26" xfId="2" applyFont="1" applyFill="1" applyBorder="1" applyAlignment="1">
      <alignment horizontal="center"/>
    </xf>
    <xf numFmtId="9" fontId="2" fillId="0" borderId="0" xfId="2" applyFont="1" applyFill="1" applyBorder="1" applyAlignment="1">
      <alignment horizontal="center"/>
    </xf>
    <xf numFmtId="43" fontId="2" fillId="0" borderId="29" xfId="1" applyFont="1" applyFill="1" applyBorder="1" applyAlignment="1"/>
    <xf numFmtId="43" fontId="2" fillId="0" borderId="31" xfId="1" applyFont="1" applyFill="1" applyBorder="1" applyAlignment="1"/>
    <xf numFmtId="167" fontId="2" fillId="0" borderId="15" xfId="1" applyNumberFormat="1" applyFont="1" applyFill="1" applyBorder="1" applyAlignment="1"/>
    <xf numFmtId="0" fontId="2" fillId="0" borderId="32" xfId="0" applyNumberFormat="1" applyFont="1" applyFill="1" applyBorder="1" applyAlignment="1">
      <alignment horizontal="left" vertical="top"/>
    </xf>
    <xf numFmtId="0" fontId="2" fillId="0" borderId="32" xfId="1" applyNumberFormat="1" applyFont="1" applyFill="1" applyBorder="1" applyAlignment="1">
      <alignment horizontal="left" vertical="top"/>
    </xf>
    <xf numFmtId="0" fontId="2" fillId="0" borderId="33" xfId="1" applyNumberFormat="1" applyFont="1" applyFill="1" applyBorder="1" applyAlignment="1">
      <alignment horizontal="left" vertical="top"/>
    </xf>
    <xf numFmtId="0" fontId="2" fillId="0" borderId="27" xfId="0" applyFont="1" applyFill="1" applyBorder="1" applyAlignment="1">
      <alignment horizontal="center"/>
    </xf>
    <xf numFmtId="0" fontId="2" fillId="0" borderId="30" xfId="1" applyNumberFormat="1" applyFont="1" applyFill="1" applyBorder="1" applyAlignment="1">
      <alignment horizontal="center"/>
    </xf>
    <xf numFmtId="4" fontId="2" fillId="0" borderId="31" xfId="1" applyNumberFormat="1" applyFont="1" applyFill="1" applyBorder="1" applyAlignment="1">
      <alignment horizontal="center"/>
    </xf>
    <xf numFmtId="4" fontId="2" fillId="0" borderId="0" xfId="0" applyNumberFormat="1" applyFont="1" applyFill="1" applyBorder="1" applyAlignment="1"/>
    <xf numFmtId="179" fontId="2" fillId="0" borderId="31" xfId="1" applyNumberFormat="1" applyFont="1" applyFill="1" applyBorder="1" applyAlignment="1">
      <alignment horizontal="center"/>
    </xf>
    <xf numFmtId="0" fontId="2" fillId="0" borderId="32" xfId="1" applyNumberFormat="1" applyFont="1" applyFill="1" applyBorder="1" applyAlignment="1">
      <alignment horizontal="center"/>
    </xf>
    <xf numFmtId="0" fontId="2" fillId="0" borderId="33" xfId="0" applyNumberFormat="1" applyFont="1" applyFill="1" applyBorder="1" applyAlignment="1">
      <alignment horizontal="center"/>
    </xf>
    <xf numFmtId="0" fontId="2" fillId="0" borderId="15" xfId="0" applyNumberFormat="1" applyFont="1" applyFill="1" applyBorder="1" applyAlignment="1">
      <alignment horizontal="center"/>
    </xf>
    <xf numFmtId="4" fontId="2" fillId="0" borderId="34" xfId="1" applyNumberFormat="1" applyFont="1" applyFill="1" applyBorder="1" applyAlignment="1">
      <alignment horizontal="center"/>
    </xf>
    <xf numFmtId="4" fontId="2" fillId="0" borderId="36" xfId="1" applyNumberFormat="1" applyFont="1" applyFill="1" applyBorder="1" applyAlignment="1">
      <alignment horizontal="center"/>
    </xf>
    <xf numFmtId="4" fontId="2" fillId="0" borderId="35" xfId="1" applyNumberFormat="1" applyFont="1" applyFill="1" applyBorder="1" applyAlignment="1">
      <alignment horizontal="center"/>
    </xf>
    <xf numFmtId="4" fontId="2" fillId="0" borderId="30" xfId="1" applyNumberFormat="1" applyFont="1" applyFill="1" applyBorder="1" applyAlignment="1">
      <alignment horizontal="center"/>
    </xf>
    <xf numFmtId="174" fontId="2" fillId="0" borderId="29" xfId="0" applyNumberFormat="1" applyFont="1" applyFill="1" applyBorder="1" applyAlignment="1"/>
    <xf numFmtId="165" fontId="2" fillId="0" borderId="24" xfId="0" applyNumberFormat="1" applyFont="1" applyFill="1" applyBorder="1" applyAlignment="1"/>
    <xf numFmtId="171" fontId="2" fillId="0" borderId="24" xfId="1" applyNumberFormat="1" applyFont="1" applyFill="1" applyBorder="1" applyAlignment="1"/>
    <xf numFmtId="167" fontId="2" fillId="0" borderId="24" xfId="1" applyNumberFormat="1" applyFont="1" applyFill="1" applyBorder="1" applyAlignment="1"/>
    <xf numFmtId="43" fontId="2" fillId="0" borderId="24" xfId="0" applyNumberFormat="1" applyFont="1" applyFill="1" applyBorder="1" applyAlignment="1"/>
    <xf numFmtId="174" fontId="2" fillId="0" borderId="31" xfId="0" applyNumberFormat="1" applyFont="1" applyFill="1" applyBorder="1" applyAlignment="1"/>
    <xf numFmtId="175" fontId="2" fillId="0" borderId="0" xfId="0" applyNumberFormat="1" applyFont="1" applyFill="1" applyBorder="1" applyAlignment="1">
      <alignment horizontal="center"/>
    </xf>
    <xf numFmtId="0" fontId="2" fillId="0" borderId="0" xfId="2" applyNumberFormat="1" applyFont="1" applyFill="1" applyBorder="1" applyAlignment="1">
      <alignment horizontal="center"/>
    </xf>
    <xf numFmtId="174" fontId="2" fillId="0" borderId="0" xfId="3" applyNumberFormat="1" applyFont="1" applyFill="1" applyBorder="1" applyAlignment="1">
      <alignment horizontal="center"/>
    </xf>
    <xf numFmtId="174" fontId="2" fillId="0" borderId="29" xfId="0" applyNumberFormat="1" applyFont="1" applyFill="1" applyBorder="1" applyAlignment="1">
      <alignment horizontal="center"/>
    </xf>
    <xf numFmtId="0" fontId="2" fillId="0" borderId="24" xfId="0" applyFont="1" applyFill="1" applyBorder="1" applyAlignment="1">
      <alignment horizontal="center"/>
    </xf>
    <xf numFmtId="175" fontId="2" fillId="0" borderId="24" xfId="0" applyNumberFormat="1" applyFont="1" applyFill="1" applyBorder="1" applyAlignment="1">
      <alignment horizontal="center"/>
    </xf>
    <xf numFmtId="174" fontId="2" fillId="0" borderId="24" xfId="3" applyNumberFormat="1" applyFont="1" applyFill="1" applyBorder="1" applyAlignment="1">
      <alignment horizontal="center"/>
    </xf>
    <xf numFmtId="174" fontId="2" fillId="0" borderId="31" xfId="0" applyNumberFormat="1" applyFont="1" applyFill="1" applyBorder="1" applyAlignment="1">
      <alignment horizontal="center"/>
    </xf>
    <xf numFmtId="3" fontId="2" fillId="0" borderId="0" xfId="1" applyNumberFormat="1" applyFont="1" applyFill="1" applyBorder="1" applyAlignment="1">
      <alignment horizontal="center"/>
    </xf>
    <xf numFmtId="3" fontId="2" fillId="0" borderId="0" xfId="0" applyNumberFormat="1" applyFont="1" applyFill="1" applyBorder="1" applyAlignment="1">
      <alignment horizontal="center"/>
    </xf>
    <xf numFmtId="3" fontId="2" fillId="0" borderId="24" xfId="1" applyNumberFormat="1" applyFont="1" applyFill="1" applyBorder="1" applyAlignment="1">
      <alignment horizontal="center"/>
    </xf>
    <xf numFmtId="3" fontId="2" fillId="0" borderId="24" xfId="0" applyNumberFormat="1" applyFont="1" applyFill="1" applyBorder="1" applyAlignment="1">
      <alignment horizontal="center"/>
    </xf>
    <xf numFmtId="180" fontId="2" fillId="0" borderId="0" xfId="1" applyNumberFormat="1" applyFont="1" applyFill="1" applyBorder="1" applyAlignment="1">
      <alignment horizontal="center"/>
    </xf>
    <xf numFmtId="180" fontId="2" fillId="0" borderId="24" xfId="1" applyNumberFormat="1" applyFont="1" applyFill="1" applyBorder="1" applyAlignment="1">
      <alignment horizontal="center"/>
    </xf>
    <xf numFmtId="180" fontId="2" fillId="0" borderId="24" xfId="0" applyNumberFormat="1" applyFont="1" applyFill="1" applyBorder="1" applyAlignment="1">
      <alignment horizontal="center"/>
    </xf>
    <xf numFmtId="8" fontId="2" fillId="0" borderId="24" xfId="0" applyNumberFormat="1" applyFont="1" applyFill="1" applyBorder="1" applyAlignment="1"/>
    <xf numFmtId="0" fontId="2" fillId="0" borderId="26" xfId="0" applyFont="1" applyFill="1" applyBorder="1" applyAlignment="1">
      <alignment horizontal="center" vertical="center" wrapText="1"/>
    </xf>
    <xf numFmtId="0" fontId="2" fillId="0" borderId="26" xfId="0" applyFont="1" applyFill="1" applyBorder="1" applyAlignment="1">
      <alignment horizontal="center" vertical="center"/>
    </xf>
    <xf numFmtId="0" fontId="2" fillId="0" borderId="27" xfId="0" applyFont="1" applyFill="1" applyBorder="1" applyAlignment="1">
      <alignment horizontal="center" vertical="center"/>
    </xf>
    <xf numFmtId="0" fontId="2" fillId="0" borderId="15" xfId="0" applyFont="1" applyFill="1" applyBorder="1" applyAlignment="1">
      <alignment horizontal="center" vertical="center"/>
    </xf>
    <xf numFmtId="0" fontId="2" fillId="0" borderId="27" xfId="0" applyFont="1" applyFill="1" applyBorder="1" applyAlignment="1">
      <alignment horizontal="center" vertical="center" wrapText="1"/>
    </xf>
    <xf numFmtId="167" fontId="2" fillId="0" borderId="26" xfId="1" applyNumberFormat="1" applyFont="1" applyFill="1" applyBorder="1" applyAlignment="1">
      <alignment horizontal="center"/>
    </xf>
    <xf numFmtId="167" fontId="2" fillId="0" borderId="26" xfId="1" quotePrefix="1" applyNumberFormat="1" applyFont="1" applyFill="1" applyBorder="1" applyAlignment="1">
      <alignment horizontal="center"/>
    </xf>
    <xf numFmtId="167" fontId="2" fillId="0" borderId="27" xfId="1" quotePrefix="1" applyNumberFormat="1" applyFont="1" applyFill="1" applyBorder="1" applyAlignment="1">
      <alignment horizontal="center"/>
    </xf>
    <xf numFmtId="0" fontId="25" fillId="0" borderId="15" xfId="0" applyFont="1" applyFill="1" applyBorder="1" applyAlignment="1">
      <alignment horizontal="center" vertical="center"/>
    </xf>
    <xf numFmtId="164" fontId="2" fillId="0" borderId="29" xfId="3" applyFont="1" applyFill="1" applyBorder="1" applyAlignment="1"/>
    <xf numFmtId="164" fontId="2" fillId="0" borderId="24" xfId="3" applyFont="1" applyFill="1" applyBorder="1" applyAlignment="1"/>
    <xf numFmtId="167" fontId="2" fillId="0" borderId="24" xfId="0" applyNumberFormat="1" applyFont="1" applyFill="1" applyBorder="1" applyAlignment="1"/>
    <xf numFmtId="171" fontId="2" fillId="7" borderId="24" xfId="1" applyNumberFormat="1" applyFont="1" applyFill="1" applyBorder="1" applyAlignment="1"/>
    <xf numFmtId="164" fontId="2" fillId="0" borderId="31" xfId="3" applyFont="1" applyFill="1" applyBorder="1" applyAlignment="1"/>
    <xf numFmtId="171" fontId="2" fillId="0" borderId="0" xfId="0" applyNumberFormat="1" applyFont="1" applyFill="1" applyBorder="1" applyAlignment="1"/>
    <xf numFmtId="0" fontId="2" fillId="0" borderId="29" xfId="0" applyFont="1" applyFill="1" applyBorder="1" applyAlignment="1">
      <alignment wrapText="1"/>
    </xf>
    <xf numFmtId="43" fontId="2" fillId="0" borderId="24" xfId="1" applyNumberFormat="1" applyFont="1" applyFill="1" applyBorder="1" applyAlignment="1"/>
    <xf numFmtId="0" fontId="2" fillId="0" borderId="15" xfId="0" applyFont="1" applyFill="1" applyBorder="1" applyAlignment="1">
      <alignment horizontal="center" vertical="center" wrapText="1"/>
    </xf>
    <xf numFmtId="0" fontId="31" fillId="0" borderId="0" xfId="0" applyFont="1" applyFill="1" applyBorder="1"/>
    <xf numFmtId="9" fontId="2" fillId="0" borderId="29" xfId="2" applyFont="1" applyFill="1" applyBorder="1"/>
    <xf numFmtId="9" fontId="2" fillId="0" borderId="24" xfId="2" applyFont="1" applyFill="1" applyBorder="1"/>
    <xf numFmtId="9" fontId="2" fillId="0" borderId="31" xfId="2" applyFont="1" applyFill="1" applyBorder="1"/>
    <xf numFmtId="9" fontId="2" fillId="0" borderId="32" xfId="2" applyFont="1" applyFill="1" applyBorder="1"/>
    <xf numFmtId="9" fontId="2" fillId="0" borderId="33" xfId="2" applyFont="1" applyFill="1" applyBorder="1"/>
    <xf numFmtId="0" fontId="2" fillId="0" borderId="0" xfId="0" applyFont="1" applyFill="1" applyBorder="1" applyAlignment="1">
      <alignment horizontal="center" vertical="center"/>
    </xf>
    <xf numFmtId="0" fontId="2" fillId="0" borderId="25" xfId="0" applyFont="1" applyFill="1" applyBorder="1" applyAlignment="1">
      <alignment horizontal="center" vertical="center" wrapText="1"/>
    </xf>
    <xf numFmtId="166" fontId="2" fillId="0" borderId="26" xfId="1" applyNumberFormat="1" applyFont="1" applyFill="1" applyBorder="1" applyAlignment="1">
      <alignment horizontal="center" vertical="center" wrapText="1"/>
    </xf>
    <xf numFmtId="171" fontId="2" fillId="0" borderId="26" xfId="1" applyNumberFormat="1" applyFont="1" applyFill="1" applyBorder="1" applyAlignment="1">
      <alignment horizontal="center" vertical="center" wrapText="1"/>
    </xf>
    <xf numFmtId="167" fontId="2" fillId="0" borderId="26" xfId="1" applyNumberFormat="1" applyFont="1" applyFill="1" applyBorder="1" applyAlignment="1">
      <alignment horizontal="center" vertical="center" wrapText="1"/>
    </xf>
    <xf numFmtId="0" fontId="2" fillId="0" borderId="28" xfId="0" applyFont="1" applyFill="1" applyBorder="1" applyAlignment="1">
      <alignment horizontal="center"/>
    </xf>
    <xf numFmtId="0" fontId="2" fillId="0" borderId="29" xfId="0" applyFont="1" applyFill="1" applyBorder="1" applyAlignment="1">
      <alignment horizontal="center"/>
    </xf>
    <xf numFmtId="0" fontId="2" fillId="0" borderId="30" xfId="0" applyFont="1" applyFill="1" applyBorder="1" applyAlignment="1">
      <alignment horizontal="center"/>
    </xf>
    <xf numFmtId="0" fontId="2" fillId="0" borderId="31" xfId="0" applyFont="1" applyFill="1" applyBorder="1" applyAlignment="1">
      <alignment horizontal="center"/>
    </xf>
    <xf numFmtId="176" fontId="2" fillId="0" borderId="0" xfId="1" applyNumberFormat="1" applyFont="1" applyFill="1" applyBorder="1" applyAlignment="1"/>
    <xf numFmtId="177" fontId="2" fillId="0" borderId="0" xfId="0" applyNumberFormat="1" applyFont="1" applyFill="1" applyBorder="1" applyAlignment="1"/>
    <xf numFmtId="177" fontId="2" fillId="0" borderId="24" xfId="0" applyNumberFormat="1" applyFont="1" applyFill="1" applyBorder="1" applyAlignment="1"/>
    <xf numFmtId="171" fontId="2" fillId="0" borderId="24" xfId="0" applyNumberFormat="1" applyFont="1" applyFill="1" applyBorder="1" applyAlignment="1"/>
    <xf numFmtId="43" fontId="2" fillId="7" borderId="0" xfId="1" applyFont="1" applyFill="1" applyBorder="1" applyAlignment="1"/>
    <xf numFmtId="168" fontId="2" fillId="7" borderId="0" xfId="2" applyNumberFormat="1" applyFont="1" applyFill="1" applyBorder="1" applyAlignment="1"/>
    <xf numFmtId="176" fontId="2" fillId="7" borderId="0" xfId="0" applyNumberFormat="1" applyFont="1" applyFill="1" applyBorder="1" applyAlignment="1"/>
    <xf numFmtId="174" fontId="2" fillId="7" borderId="0" xfId="3" applyNumberFormat="1" applyFont="1" applyFill="1" applyBorder="1" applyAlignment="1"/>
    <xf numFmtId="174" fontId="2" fillId="7" borderId="0" xfId="0" applyNumberFormat="1" applyFont="1" applyFill="1" applyBorder="1" applyAlignment="1"/>
    <xf numFmtId="8" fontId="2" fillId="7" borderId="0" xfId="0" applyNumberFormat="1" applyFont="1" applyFill="1" applyBorder="1" applyAlignment="1"/>
    <xf numFmtId="43" fontId="2" fillId="7" borderId="24" xfId="1" applyFont="1" applyFill="1" applyBorder="1" applyAlignment="1"/>
    <xf numFmtId="168" fontId="2" fillId="7" borderId="24" xfId="2" applyNumberFormat="1" applyFont="1" applyFill="1" applyBorder="1" applyAlignment="1"/>
    <xf numFmtId="176" fontId="2" fillId="7" borderId="24" xfId="0" applyNumberFormat="1" applyFont="1" applyFill="1" applyBorder="1" applyAlignment="1"/>
    <xf numFmtId="174" fontId="2" fillId="7" borderId="24" xfId="3" applyNumberFormat="1" applyFont="1" applyFill="1" applyBorder="1" applyAlignment="1"/>
    <xf numFmtId="174" fontId="2" fillId="7" borderId="24" xfId="0" applyNumberFormat="1" applyFont="1" applyFill="1" applyBorder="1" applyAlignment="1"/>
    <xf numFmtId="8" fontId="2" fillId="7" borderId="24" xfId="0" applyNumberFormat="1" applyFont="1" applyFill="1" applyBorder="1" applyAlignment="1"/>
    <xf numFmtId="9" fontId="2" fillId="7" borderId="0" xfId="0" applyNumberFormat="1" applyFont="1" applyFill="1" applyBorder="1" applyAlignment="1">
      <alignment horizontal="center"/>
    </xf>
    <xf numFmtId="0" fontId="13" fillId="4" borderId="24" xfId="0" applyFont="1" applyFill="1" applyBorder="1" applyAlignment="1" applyProtection="1">
      <alignment horizontal="left" vertical="center"/>
      <protection locked="0"/>
    </xf>
    <xf numFmtId="0" fontId="4" fillId="4" borderId="0" xfId="0" applyFont="1" applyFill="1" applyBorder="1" applyAlignment="1" applyProtection="1">
      <alignment horizontal="left" wrapText="1"/>
    </xf>
    <xf numFmtId="0" fontId="4" fillId="4" borderId="6" xfId="0" applyFont="1" applyFill="1" applyBorder="1" applyAlignment="1" applyProtection="1">
      <alignment horizontal="left" wrapText="1"/>
    </xf>
    <xf numFmtId="0" fontId="5" fillId="4" borderId="0" xfId="0" applyFont="1" applyFill="1" applyAlignment="1" applyProtection="1">
      <alignment horizontal="left" vertical="center" wrapText="1"/>
    </xf>
    <xf numFmtId="0" fontId="6" fillId="4" borderId="5" xfId="0" applyFont="1" applyFill="1" applyBorder="1" applyAlignment="1" applyProtection="1">
      <alignment horizontal="left" vertical="center" wrapText="1"/>
    </xf>
    <xf numFmtId="0" fontId="6" fillId="4" borderId="0" xfId="0" applyFont="1" applyFill="1" applyBorder="1" applyAlignment="1" applyProtection="1">
      <alignment horizontal="left" vertical="center" wrapText="1"/>
    </xf>
    <xf numFmtId="0" fontId="6" fillId="4" borderId="6" xfId="0" applyFont="1" applyFill="1" applyBorder="1" applyAlignment="1" applyProtection="1">
      <alignment horizontal="left" vertical="center" wrapText="1"/>
    </xf>
    <xf numFmtId="0" fontId="5" fillId="4" borderId="5" xfId="0" applyFont="1" applyFill="1" applyBorder="1" applyAlignment="1" applyProtection="1">
      <alignment horizontal="left" wrapText="1"/>
    </xf>
    <xf numFmtId="0" fontId="5" fillId="4" borderId="0" xfId="0" applyFont="1" applyFill="1" applyBorder="1" applyAlignment="1" applyProtection="1">
      <alignment horizontal="left" wrapText="1"/>
    </xf>
    <xf numFmtId="0" fontId="5" fillId="4" borderId="6" xfId="0" applyFont="1" applyFill="1" applyBorder="1" applyAlignment="1" applyProtection="1">
      <alignment horizontal="left" wrapText="1"/>
    </xf>
    <xf numFmtId="0" fontId="5" fillId="0" borderId="5" xfId="0" applyFont="1" applyFill="1" applyBorder="1" applyAlignment="1" applyProtection="1">
      <alignment horizontal="left" wrapText="1"/>
    </xf>
    <xf numFmtId="0" fontId="5" fillId="0" borderId="0" xfId="0" applyFont="1" applyFill="1" applyBorder="1" applyAlignment="1" applyProtection="1">
      <alignment horizontal="left" wrapText="1"/>
    </xf>
    <xf numFmtId="0" fontId="5" fillId="0" borderId="6" xfId="0" applyFont="1" applyFill="1" applyBorder="1" applyAlignment="1" applyProtection="1">
      <alignment horizontal="left" wrapText="1"/>
    </xf>
    <xf numFmtId="0" fontId="5" fillId="4" borderId="5" xfId="0" applyFont="1" applyFill="1" applyBorder="1" applyAlignment="1" applyProtection="1">
      <alignment horizontal="left" vertical="center" wrapText="1"/>
    </xf>
    <xf numFmtId="0" fontId="5" fillId="4" borderId="0" xfId="0" applyFont="1" applyFill="1" applyBorder="1" applyAlignment="1" applyProtection="1">
      <alignment horizontal="left" vertical="center" wrapText="1"/>
    </xf>
    <xf numFmtId="0" fontId="5" fillId="4" borderId="6" xfId="0" applyFont="1" applyFill="1" applyBorder="1" applyAlignment="1" applyProtection="1">
      <alignment horizontal="left" vertical="center" wrapText="1"/>
    </xf>
    <xf numFmtId="0" fontId="6" fillId="4" borderId="2" xfId="0" applyFont="1" applyFill="1" applyBorder="1" applyAlignment="1" applyProtection="1">
      <alignment horizontal="left" vertical="center" wrapText="1"/>
    </xf>
    <xf numFmtId="0" fontId="6" fillId="4" borderId="3" xfId="0" applyFont="1" applyFill="1" applyBorder="1" applyAlignment="1" applyProtection="1">
      <alignment horizontal="left" vertical="center" wrapText="1"/>
    </xf>
    <xf numFmtId="0" fontId="6" fillId="4" borderId="4" xfId="0" applyFont="1" applyFill="1" applyBorder="1" applyAlignment="1" applyProtection="1">
      <alignment horizontal="left" vertical="center" wrapText="1"/>
    </xf>
    <xf numFmtId="0" fontId="5" fillId="4" borderId="24" xfId="0" applyFont="1" applyFill="1" applyBorder="1" applyAlignment="1" applyProtection="1">
      <alignment horizontal="left" vertical="center" wrapText="1"/>
    </xf>
    <xf numFmtId="0" fontId="5" fillId="4" borderId="25" xfId="0" applyFont="1" applyFill="1" applyBorder="1" applyAlignment="1" applyProtection="1">
      <alignment horizontal="left" vertical="center" wrapText="1"/>
    </xf>
    <xf numFmtId="0" fontId="5" fillId="4" borderId="26" xfId="0" applyFont="1" applyFill="1" applyBorder="1" applyAlignment="1" applyProtection="1">
      <alignment horizontal="left" vertical="center" wrapText="1"/>
    </xf>
    <xf numFmtId="0" fontId="5" fillId="4" borderId="27" xfId="0" applyFont="1" applyFill="1" applyBorder="1" applyAlignment="1" applyProtection="1">
      <alignment horizontal="left" vertical="center" wrapText="1"/>
    </xf>
    <xf numFmtId="0" fontId="6" fillId="4" borderId="25" xfId="0" applyFont="1" applyFill="1" applyBorder="1" applyAlignment="1" applyProtection="1">
      <alignment horizontal="right" vertical="center" wrapText="1"/>
    </xf>
    <xf numFmtId="0" fontId="6" fillId="4" borderId="26" xfId="0" applyFont="1" applyFill="1" applyBorder="1" applyAlignment="1" applyProtection="1">
      <alignment horizontal="right" vertical="center" wrapText="1"/>
    </xf>
    <xf numFmtId="0" fontId="6" fillId="4" borderId="27" xfId="0" applyFont="1" applyFill="1" applyBorder="1" applyAlignment="1" applyProtection="1">
      <alignment horizontal="right" vertical="center" wrapText="1"/>
    </xf>
    <xf numFmtId="0" fontId="12" fillId="4" borderId="10" xfId="0" applyFont="1" applyFill="1" applyBorder="1" applyAlignment="1" applyProtection="1">
      <alignment horizontal="left" wrapText="1"/>
    </xf>
    <xf numFmtId="0" fontId="12" fillId="4" borderId="11" xfId="0" applyFont="1" applyFill="1" applyBorder="1" applyAlignment="1" applyProtection="1">
      <alignment horizontal="left" wrapText="1"/>
    </xf>
    <xf numFmtId="0" fontId="12" fillId="4" borderId="12" xfId="0" applyFont="1" applyFill="1" applyBorder="1" applyAlignment="1" applyProtection="1">
      <alignment horizontal="left" wrapText="1"/>
    </xf>
    <xf numFmtId="0" fontId="26" fillId="4" borderId="0" xfId="0" applyFont="1" applyFill="1" applyAlignment="1" applyProtection="1">
      <alignment horizontal="left" vertical="center" wrapText="1"/>
    </xf>
    <xf numFmtId="0" fontId="28" fillId="4" borderId="0" xfId="0" applyFont="1" applyFill="1" applyAlignment="1" applyProtection="1">
      <alignment horizontal="left" vertical="center" wrapText="1"/>
    </xf>
    <xf numFmtId="0" fontId="4" fillId="4" borderId="0" xfId="0" applyFont="1" applyFill="1" applyBorder="1" applyAlignment="1" applyProtection="1">
      <alignment horizontal="left" vertical="center" wrapText="1"/>
    </xf>
    <xf numFmtId="0" fontId="4" fillId="4" borderId="6" xfId="0" applyFont="1" applyFill="1" applyBorder="1" applyAlignment="1" applyProtection="1">
      <alignment horizontal="left" vertical="center" wrapText="1"/>
    </xf>
    <xf numFmtId="0" fontId="6" fillId="0" borderId="2" xfId="0" applyFont="1" applyBorder="1" applyAlignment="1">
      <alignment horizontal="center" wrapText="1"/>
    </xf>
    <xf numFmtId="0" fontId="6" fillId="0" borderId="3" xfId="0" applyFont="1" applyBorder="1" applyAlignment="1">
      <alignment horizontal="center" wrapText="1"/>
    </xf>
    <xf numFmtId="0" fontId="6" fillId="0" borderId="4" xfId="0" applyFont="1" applyBorder="1" applyAlignment="1">
      <alignment horizontal="center" wrapText="1"/>
    </xf>
    <xf numFmtId="0" fontId="2" fillId="0" borderId="25" xfId="0" applyFont="1" applyFill="1" applyBorder="1" applyAlignment="1">
      <alignment horizontal="center"/>
    </xf>
    <xf numFmtId="0" fontId="2" fillId="0" borderId="26" xfId="0" applyFont="1" applyFill="1" applyBorder="1" applyAlignment="1">
      <alignment horizontal="center"/>
    </xf>
    <xf numFmtId="0" fontId="2" fillId="0" borderId="27" xfId="0" applyFont="1" applyFill="1" applyBorder="1" applyAlignment="1">
      <alignment horizontal="center"/>
    </xf>
    <xf numFmtId="172" fontId="2" fillId="0" borderId="0" xfId="0" applyNumberFormat="1" applyFont="1" applyFill="1" applyBorder="1"/>
    <xf numFmtId="0" fontId="2" fillId="0" borderId="28" xfId="0" applyFont="1" applyFill="1" applyBorder="1" applyAlignment="1"/>
    <xf numFmtId="0" fontId="2" fillId="0" borderId="0" xfId="0" applyFont="1" applyFill="1" applyBorder="1" applyAlignment="1"/>
    <xf numFmtId="0" fontId="2" fillId="0" borderId="29" xfId="0" applyFont="1" applyFill="1" applyBorder="1" applyAlignment="1"/>
    <xf numFmtId="0" fontId="2" fillId="0" borderId="30" xfId="0" applyFont="1" applyFill="1" applyBorder="1" applyAlignment="1"/>
    <xf numFmtId="0" fontId="2" fillId="0" borderId="24" xfId="0" applyFont="1" applyFill="1" applyBorder="1" applyAlignment="1"/>
    <xf numFmtId="0" fontId="2" fillId="0" borderId="31" xfId="0" applyFont="1" applyFill="1" applyBorder="1" applyAlignment="1"/>
    <xf numFmtId="0" fontId="2" fillId="0" borderId="15" xfId="0" applyFont="1" applyFill="1" applyBorder="1" applyAlignment="1"/>
    <xf numFmtId="0" fontId="2" fillId="0" borderId="15" xfId="0" applyFont="1" applyFill="1" applyBorder="1" applyAlignment="1">
      <alignment wrapText="1"/>
    </xf>
    <xf numFmtId="0" fontId="2" fillId="0" borderId="25" xfId="0" applyFont="1" applyFill="1" applyBorder="1" applyAlignment="1"/>
    <xf numFmtId="0" fontId="2" fillId="0" borderId="27" xfId="0" applyFont="1" applyFill="1" applyBorder="1" applyAlignment="1"/>
    <xf numFmtId="0" fontId="2" fillId="0" borderId="26" xfId="0" applyFont="1" applyFill="1" applyBorder="1" applyAlignment="1"/>
    <xf numFmtId="0" fontId="2" fillId="0" borderId="37" xfId="0" applyFont="1" applyFill="1" applyBorder="1" applyAlignment="1"/>
    <xf numFmtId="0" fontId="2" fillId="0" borderId="35" xfId="0" applyFont="1" applyFill="1" applyBorder="1" applyAlignment="1"/>
    <xf numFmtId="0" fontId="2" fillId="0" borderId="32" xfId="0" applyFont="1" applyFill="1" applyBorder="1" applyAlignment="1"/>
    <xf numFmtId="0" fontId="2" fillId="0" borderId="34" xfId="0" applyFont="1" applyFill="1" applyBorder="1" applyAlignment="1"/>
    <xf numFmtId="0" fontId="2" fillId="0" borderId="36" xfId="0" applyFont="1" applyFill="1" applyBorder="1" applyAlignment="1"/>
    <xf numFmtId="0" fontId="5" fillId="0" borderId="0" xfId="5" applyFont="1" applyAlignment="1" applyProtection="1"/>
    <xf numFmtId="0" fontId="16" fillId="0" borderId="0" xfId="6"/>
    <xf numFmtId="0" fontId="33" fillId="0" borderId="0" xfId="5" applyAlignment="1" applyProtection="1"/>
  </cellXfs>
  <cellStyles count="7">
    <cellStyle name="Comma" xfId="1" builtinId="3"/>
    <cellStyle name="Currency" xfId="3" builtinId="4"/>
    <cellStyle name="Currency 2" xfId="4"/>
    <cellStyle name="Hyperlink" xfId="5" builtinId="8"/>
    <cellStyle name="Normal" xfId="0" builtinId="0"/>
    <cellStyle name="Normal 2" xfId="6"/>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Air Leaks</a:t>
            </a:r>
            <a:r>
              <a:rPr lang="en-US" baseline="0"/>
              <a:t> (CFM) at </a:t>
            </a:r>
            <a:r>
              <a:rPr lang="en-US"/>
              <a:t>80 Pisg for various Orifice Diameter</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BackEnd!$A$63</c:f>
              <c:strCache>
                <c:ptCount val="1"/>
                <c:pt idx="0">
                  <c:v>80</c:v>
                </c:pt>
              </c:strCache>
            </c:strRef>
          </c:tx>
          <c:spPr>
            <a:ln w="28575" cap="rnd">
              <a:solidFill>
                <a:schemeClr val="accent1"/>
              </a:solidFill>
              <a:round/>
            </a:ln>
            <a:effectLst/>
          </c:spPr>
          <c:marker>
            <c:symbol val="none"/>
          </c:marker>
          <c:trendline>
            <c:spPr>
              <a:ln w="19050" cap="rnd">
                <a:solidFill>
                  <a:schemeClr val="accent1"/>
                </a:solidFill>
                <a:prstDash val="sysDot"/>
              </a:ln>
              <a:effectLst/>
            </c:spPr>
            <c:trendlineType val="poly"/>
            <c:order val="2"/>
            <c:dispRSqr val="1"/>
            <c:dispEq val="1"/>
            <c:trendlineLbl>
              <c:layout>
                <c:manualLayout>
                  <c:x val="-6.7005424321959758E-2"/>
                  <c:y val="4.1199780971312378E-3"/>
                </c:manualLayout>
              </c:layout>
              <c:numFmt formatCode="General" sourceLinked="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trendlineLbl>
          </c:trendline>
          <c:cat>
            <c:strRef>
              <c:f>BackEnd!$B$57:$G$57</c:f>
              <c:strCache>
                <c:ptCount val="6"/>
                <c:pt idx="0">
                  <c:v>1/64 </c:v>
                </c:pt>
                <c:pt idx="1">
                  <c:v>1/32 </c:v>
                </c:pt>
                <c:pt idx="2">
                  <c:v>1/16</c:v>
                </c:pt>
                <c:pt idx="3">
                  <c:v>1/8</c:v>
                </c:pt>
                <c:pt idx="4">
                  <c:v>1/4</c:v>
                </c:pt>
                <c:pt idx="5">
                  <c:v>3/8</c:v>
                </c:pt>
              </c:strCache>
            </c:strRef>
          </c:cat>
          <c:val>
            <c:numRef>
              <c:f>BackEnd!$B$63:$G$63</c:f>
              <c:numCache>
                <c:formatCode>_(* #,##0.00_);_(* \(#,##0.00\);_(* "-"??_);_(@_)</c:formatCode>
                <c:ptCount val="6"/>
                <c:pt idx="0">
                  <c:v>0.32</c:v>
                </c:pt>
                <c:pt idx="1">
                  <c:v>1.26</c:v>
                </c:pt>
                <c:pt idx="2">
                  <c:v>5.24</c:v>
                </c:pt>
                <c:pt idx="3">
                  <c:v>20.76</c:v>
                </c:pt>
                <c:pt idx="4">
                  <c:v>83.1</c:v>
                </c:pt>
                <c:pt idx="5">
                  <c:v>187.2</c:v>
                </c:pt>
              </c:numCache>
            </c:numRef>
          </c:val>
          <c:smooth val="0"/>
          <c:extLst>
            <c:ext xmlns:c16="http://schemas.microsoft.com/office/drawing/2014/chart" uri="{C3380CC4-5D6E-409C-BE32-E72D297353CC}">
              <c16:uniqueId val="{00000001-DEEB-45F9-B58C-018C55FE5483}"/>
            </c:ext>
          </c:extLst>
        </c:ser>
        <c:dLbls>
          <c:showLegendKey val="0"/>
          <c:showVal val="0"/>
          <c:showCatName val="0"/>
          <c:showSerName val="0"/>
          <c:showPercent val="0"/>
          <c:showBubbleSize val="0"/>
        </c:dLbls>
        <c:smooth val="0"/>
        <c:axId val="168615296"/>
        <c:axId val="179385472"/>
      </c:lineChart>
      <c:catAx>
        <c:axId val="1686152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9385472"/>
        <c:crosses val="autoZero"/>
        <c:auto val="1"/>
        <c:lblAlgn val="ctr"/>
        <c:lblOffset val="100"/>
        <c:noMultiLvlLbl val="0"/>
      </c:catAx>
      <c:valAx>
        <c:axId val="179385472"/>
        <c:scaling>
          <c:orientation val="minMax"/>
        </c:scaling>
        <c:delete val="0"/>
        <c:axPos val="l"/>
        <c:majorGridlines>
          <c:spPr>
            <a:ln w="9525" cap="flat" cmpd="sng" algn="ctr">
              <a:solidFill>
                <a:schemeClr val="tx1">
                  <a:lumMod val="15000"/>
                  <a:lumOff val="85000"/>
                </a:schemeClr>
              </a:solidFill>
              <a:round/>
            </a:ln>
            <a:effectLst/>
          </c:spPr>
        </c:majorGridlines>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8615296"/>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3</xdr:col>
      <xdr:colOff>85725</xdr:colOff>
      <xdr:row>73</xdr:row>
      <xdr:rowOff>0</xdr:rowOff>
    </xdr:from>
    <xdr:to>
      <xdr:col>6</xdr:col>
      <xdr:colOff>619125</xdr:colOff>
      <xdr:row>73</xdr:row>
      <xdr:rowOff>0</xdr:rowOff>
    </xdr:to>
    <xdr:sp macro="" textlink="">
      <xdr:nvSpPr>
        <xdr:cNvPr id="4" name="Text Box 36">
          <a:extLst>
            <a:ext uri="{FF2B5EF4-FFF2-40B4-BE49-F238E27FC236}">
              <a16:creationId xmlns:a16="http://schemas.microsoft.com/office/drawing/2014/main" id="{52E21906-BF7D-4BAE-B492-300D91B398D0}"/>
            </a:ext>
          </a:extLst>
        </xdr:cNvPr>
        <xdr:cNvSpPr txBox="1">
          <a:spLocks noChangeArrowheads="1"/>
        </xdr:cNvSpPr>
      </xdr:nvSpPr>
      <xdr:spPr bwMode="auto">
        <a:xfrm>
          <a:off x="5086350" y="12411075"/>
          <a:ext cx="5019675" cy="0"/>
        </a:xfrm>
        <a:prstGeom prst="rect">
          <a:avLst/>
        </a:prstGeom>
        <a:noFill/>
        <a:ln w="9525">
          <a:noFill/>
          <a:miter lim="800000"/>
          <a:headEnd/>
          <a:tailEnd/>
        </a:ln>
      </xdr:spPr>
      <xdr:txBody>
        <a:bodyPr vertOverflow="clip" wrap="square" lIns="91440" tIns="45720" rIns="91440" bIns="45720" anchor="t" upright="1"/>
        <a:lstStyle/>
        <a:p>
          <a:pPr algn="ctr" rtl="0">
            <a:defRPr sz="1000"/>
          </a:pPr>
          <a:r>
            <a:rPr lang="en-US" sz="1200" b="0" i="0" u="none" strike="noStrike" baseline="0">
              <a:solidFill>
                <a:srgbClr val="000000"/>
              </a:solidFill>
              <a:latin typeface="Arial Black"/>
            </a:rPr>
            <a:t>Lighting System Worksheet</a:t>
          </a:r>
        </a:p>
        <a:p>
          <a:pPr algn="ctr" rtl="0">
            <a:defRPr sz="1000"/>
          </a:pPr>
          <a:endParaRPr lang="en-US" sz="1200" b="0" i="0" u="none" strike="noStrike" baseline="0">
            <a:solidFill>
              <a:srgbClr val="000000"/>
            </a:solidFill>
            <a:latin typeface="Arial Black"/>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571500</xdr:colOff>
      <xdr:row>55</xdr:row>
      <xdr:rowOff>147638</xdr:rowOff>
    </xdr:from>
    <xdr:to>
      <xdr:col>15</xdr:col>
      <xdr:colOff>180975</xdr:colOff>
      <xdr:row>71</xdr:row>
      <xdr:rowOff>57150</xdr:rowOff>
    </xdr:to>
    <xdr:graphicFrame macro="">
      <xdr:nvGraphicFramePr>
        <xdr:cNvPr id="2" name="Chart 1">
          <a:extLst>
            <a:ext uri="{FF2B5EF4-FFF2-40B4-BE49-F238E27FC236}">
              <a16:creationId xmlns:a16="http://schemas.microsoft.com/office/drawing/2014/main" id="{44238563-1659-4B10-B33F-37C3BC3615E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retrofit@ieso.ca?subject=Request%20for%20accessible%20document"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03"/>
  <sheetViews>
    <sheetView tabSelected="1" view="pageLayout" zoomScale="85" zoomScaleNormal="80" zoomScalePageLayoutView="85" workbookViewId="0">
      <selection activeCell="B1" sqref="B1:G1"/>
    </sheetView>
  </sheetViews>
  <sheetFormatPr defaultColWidth="0" defaultRowHeight="12.75" zeroHeight="1" x14ac:dyDescent="0.2"/>
  <cols>
    <col min="1" max="1" width="2" style="91" customWidth="1"/>
    <col min="2" max="2" width="45.5703125" style="91" customWidth="1"/>
    <col min="3" max="3" width="17.7109375" style="91" customWidth="1"/>
    <col min="4" max="4" width="14.7109375" style="91" customWidth="1"/>
    <col min="5" max="7" width="17.7109375" style="91" customWidth="1"/>
    <col min="8" max="8" width="2.42578125" style="91" customWidth="1"/>
    <col min="9" max="9" width="10" style="92" hidden="1" customWidth="1"/>
    <col min="10" max="10" width="17.7109375" style="93" hidden="1" customWidth="1"/>
    <col min="11" max="11" width="17.7109375" style="94" hidden="1" customWidth="1"/>
    <col min="12" max="16384" width="9.140625" style="92" hidden="1"/>
  </cols>
  <sheetData>
    <row r="1" spans="2:29" ht="315.75" customHeight="1" x14ac:dyDescent="0.2">
      <c r="B1" s="328" t="s">
        <v>277</v>
      </c>
      <c r="C1" s="329"/>
      <c r="D1" s="329"/>
      <c r="E1" s="329"/>
      <c r="F1" s="329"/>
      <c r="G1" s="329"/>
      <c r="H1" s="95"/>
    </row>
    <row r="2" spans="2:29" ht="13.5" thickBot="1" x14ac:dyDescent="0.25">
      <c r="G2" s="96"/>
      <c r="H2" s="96"/>
      <c r="J2" s="97"/>
      <c r="AC2" s="97"/>
    </row>
    <row r="3" spans="2:29" ht="14.45" customHeight="1" x14ac:dyDescent="0.25">
      <c r="B3" s="98" t="s">
        <v>185</v>
      </c>
      <c r="C3" s="99"/>
      <c r="D3" s="99"/>
      <c r="E3" s="99"/>
      <c r="F3" s="99"/>
      <c r="G3" s="100"/>
      <c r="H3" s="96"/>
      <c r="J3" s="97"/>
      <c r="AC3" s="97"/>
    </row>
    <row r="4" spans="2:29" ht="29.25" customHeight="1" x14ac:dyDescent="0.2">
      <c r="B4" s="306" t="s">
        <v>267</v>
      </c>
      <c r="C4" s="307"/>
      <c r="D4" s="307"/>
      <c r="E4" s="307"/>
      <c r="F4" s="307"/>
      <c r="G4" s="308"/>
      <c r="H4" s="96"/>
      <c r="J4" s="97"/>
      <c r="AC4" s="97"/>
    </row>
    <row r="5" spans="2:29" ht="13.9" customHeight="1" thickBot="1" x14ac:dyDescent="0.25">
      <c r="B5" s="101"/>
      <c r="C5" s="102"/>
      <c r="D5" s="102"/>
      <c r="E5" s="102"/>
      <c r="F5" s="102"/>
      <c r="G5" s="103"/>
      <c r="H5" s="96"/>
      <c r="J5" s="97"/>
      <c r="AC5" s="97"/>
    </row>
    <row r="6" spans="2:29" ht="36" x14ac:dyDescent="0.2">
      <c r="B6" s="104" t="s">
        <v>153</v>
      </c>
      <c r="C6" s="105" t="s">
        <v>132</v>
      </c>
      <c r="D6" s="105" t="s">
        <v>159</v>
      </c>
      <c r="E6" s="106" t="s">
        <v>168</v>
      </c>
      <c r="F6" s="107"/>
      <c r="G6" s="108"/>
      <c r="H6" s="96"/>
      <c r="AC6" s="97"/>
    </row>
    <row r="7" spans="2:29" ht="13.5" thickBot="1" x14ac:dyDescent="0.25">
      <c r="B7" s="62"/>
      <c r="C7" s="109">
        <v>100</v>
      </c>
      <c r="D7" s="63"/>
      <c r="E7" s="110">
        <f>+C7*D7</f>
        <v>0</v>
      </c>
      <c r="F7" s="111"/>
      <c r="G7" s="112"/>
      <c r="H7" s="96"/>
      <c r="AC7" s="97"/>
    </row>
    <row r="8" spans="2:29" x14ac:dyDescent="0.2">
      <c r="G8" s="96"/>
      <c r="H8" s="96"/>
      <c r="AC8" s="97"/>
    </row>
    <row r="9" spans="2:29" ht="13.5" thickBot="1" x14ac:dyDescent="0.25">
      <c r="G9" s="96"/>
      <c r="H9" s="96"/>
      <c r="AC9" s="97"/>
    </row>
    <row r="10" spans="2:29" ht="15" x14ac:dyDescent="0.25">
      <c r="B10" s="98" t="s">
        <v>186</v>
      </c>
      <c r="C10" s="99"/>
      <c r="D10" s="99"/>
      <c r="E10" s="99"/>
      <c r="F10" s="99"/>
      <c r="G10" s="100"/>
      <c r="H10" s="96"/>
      <c r="AC10" s="97"/>
    </row>
    <row r="11" spans="2:29" ht="36" customHeight="1" x14ac:dyDescent="0.2">
      <c r="B11" s="306" t="s">
        <v>208</v>
      </c>
      <c r="C11" s="307"/>
      <c r="D11" s="307"/>
      <c r="E11" s="307"/>
      <c r="F11" s="307"/>
      <c r="G11" s="308"/>
      <c r="H11" s="96"/>
      <c r="AC11" s="97"/>
    </row>
    <row r="12" spans="2:29" ht="13.5" thickBot="1" x14ac:dyDescent="0.25">
      <c r="B12" s="113"/>
      <c r="C12" s="107"/>
      <c r="D12" s="107"/>
      <c r="E12" s="107"/>
      <c r="F12" s="107"/>
      <c r="G12" s="108"/>
      <c r="H12" s="96"/>
      <c r="AC12" s="97"/>
    </row>
    <row r="13" spans="2:29" ht="36" x14ac:dyDescent="0.2">
      <c r="B13" s="114" t="s">
        <v>154</v>
      </c>
      <c r="C13" s="115" t="s">
        <v>162</v>
      </c>
      <c r="D13" s="115" t="s">
        <v>137</v>
      </c>
      <c r="E13" s="115" t="s">
        <v>161</v>
      </c>
      <c r="F13" s="116" t="s">
        <v>168</v>
      </c>
      <c r="G13" s="108"/>
      <c r="H13" s="96"/>
      <c r="AC13" s="97"/>
    </row>
    <row r="14" spans="2:29" x14ac:dyDescent="0.2">
      <c r="B14" s="60"/>
      <c r="C14" s="117" t="s">
        <v>170</v>
      </c>
      <c r="D14" s="118">
        <f>+IncentiveTweak!E5</f>
        <v>18.918749999999999</v>
      </c>
      <c r="E14" s="61"/>
      <c r="F14" s="119">
        <f>+D14*E14</f>
        <v>0</v>
      </c>
      <c r="G14" s="108"/>
      <c r="H14" s="120"/>
      <c r="AC14" s="97"/>
    </row>
    <row r="15" spans="2:29" x14ac:dyDescent="0.2">
      <c r="B15" s="60"/>
      <c r="C15" s="117" t="s">
        <v>120</v>
      </c>
      <c r="D15" s="118">
        <f>+IncentiveTweak!E6</f>
        <v>34.874999999999993</v>
      </c>
      <c r="E15" s="61"/>
      <c r="F15" s="119">
        <f>+D15*E15</f>
        <v>0</v>
      </c>
      <c r="G15" s="108"/>
      <c r="H15" s="120"/>
      <c r="AC15" s="97"/>
    </row>
    <row r="16" spans="2:29" x14ac:dyDescent="0.2">
      <c r="B16" s="60"/>
      <c r="C16" s="117" t="s">
        <v>169</v>
      </c>
      <c r="D16" s="118">
        <f>+IncentiveTweak!E7</f>
        <v>60.759493670886073</v>
      </c>
      <c r="E16" s="61"/>
      <c r="F16" s="119">
        <f>+D16*E16</f>
        <v>0</v>
      </c>
      <c r="G16" s="108"/>
      <c r="H16" s="120"/>
      <c r="AC16" s="97"/>
    </row>
    <row r="17" spans="2:29" ht="13.5" thickBot="1" x14ac:dyDescent="0.25">
      <c r="B17" s="62"/>
      <c r="C17" s="121" t="s">
        <v>121</v>
      </c>
      <c r="D17" s="122">
        <f>+IncentiveTweak!E8</f>
        <v>85.443037974683534</v>
      </c>
      <c r="E17" s="63"/>
      <c r="F17" s="110">
        <f>+D17*E17</f>
        <v>0</v>
      </c>
      <c r="G17" s="112"/>
      <c r="H17" s="120"/>
      <c r="AC17" s="93" t="s">
        <v>166</v>
      </c>
    </row>
    <row r="18" spans="2:29" x14ac:dyDescent="0.2">
      <c r="B18" s="96"/>
      <c r="C18" s="96"/>
      <c r="D18" s="96"/>
      <c r="E18" s="96"/>
      <c r="F18" s="96"/>
      <c r="G18" s="96"/>
      <c r="H18" s="120"/>
      <c r="AC18" s="93"/>
    </row>
    <row r="19" spans="2:29" ht="13.5" hidden="1" thickBot="1" x14ac:dyDescent="0.25">
      <c r="B19" s="96"/>
      <c r="C19" s="96"/>
      <c r="D19" s="96"/>
      <c r="E19" s="96"/>
      <c r="F19" s="96"/>
      <c r="G19" s="96"/>
      <c r="H19" s="96"/>
      <c r="AC19" s="93" t="s">
        <v>204</v>
      </c>
    </row>
    <row r="20" spans="2:29" ht="34.5" hidden="1" customHeight="1" x14ac:dyDescent="0.25">
      <c r="B20" s="325" t="s">
        <v>212</v>
      </c>
      <c r="C20" s="326"/>
      <c r="D20" s="326"/>
      <c r="E20" s="326"/>
      <c r="F20" s="326"/>
      <c r="G20" s="327"/>
      <c r="H20" s="96"/>
      <c r="AC20" s="93" t="s">
        <v>171</v>
      </c>
    </row>
    <row r="21" spans="2:29" ht="15" hidden="1" customHeight="1" thickBot="1" x14ac:dyDescent="0.25">
      <c r="B21" s="123"/>
      <c r="C21" s="107"/>
      <c r="D21" s="107"/>
      <c r="E21" s="107"/>
      <c r="F21" s="107"/>
      <c r="G21" s="124"/>
      <c r="AC21" s="93" t="s">
        <v>173</v>
      </c>
    </row>
    <row r="22" spans="2:29" ht="56.25" hidden="1" customHeight="1" thickBot="1" x14ac:dyDescent="0.25">
      <c r="B22" s="125" t="s">
        <v>239</v>
      </c>
      <c r="C22" s="17"/>
      <c r="D22" s="330" t="s">
        <v>251</v>
      </c>
      <c r="E22" s="330"/>
      <c r="F22" s="330"/>
      <c r="G22" s="331"/>
      <c r="AC22" s="93" t="s">
        <v>160</v>
      </c>
    </row>
    <row r="23" spans="2:29" hidden="1" x14ac:dyDescent="0.2">
      <c r="B23" s="125"/>
      <c r="C23" s="107" t="s">
        <v>246</v>
      </c>
      <c r="D23" s="92"/>
      <c r="E23" s="126"/>
      <c r="F23" s="126"/>
      <c r="G23" s="127"/>
      <c r="AC23" s="93"/>
    </row>
    <row r="24" spans="2:29" ht="13.5" hidden="1" thickBot="1" x14ac:dyDescent="0.25">
      <c r="B24" s="128"/>
      <c r="C24" s="129"/>
      <c r="D24" s="107"/>
      <c r="E24" s="107"/>
      <c r="F24" s="107"/>
      <c r="G24" s="124"/>
      <c r="AC24" s="93"/>
    </row>
    <row r="25" spans="2:29" ht="44.25" hidden="1" customHeight="1" thickBot="1" x14ac:dyDescent="0.25">
      <c r="B25" s="125" t="s">
        <v>180</v>
      </c>
      <c r="C25" s="17"/>
      <c r="D25" s="300" t="s">
        <v>213</v>
      </c>
      <c r="E25" s="300"/>
      <c r="F25" s="300"/>
      <c r="G25" s="301"/>
      <c r="AC25" s="93" t="s">
        <v>167</v>
      </c>
    </row>
    <row r="26" spans="2:29" ht="16.5" hidden="1" customHeight="1" x14ac:dyDescent="0.2">
      <c r="B26" s="123"/>
      <c r="C26" s="107" t="s">
        <v>247</v>
      </c>
      <c r="D26" s="92"/>
      <c r="E26" s="107"/>
      <c r="F26" s="107"/>
      <c r="G26" s="124"/>
      <c r="AC26" s="93" t="s">
        <v>172</v>
      </c>
    </row>
    <row r="27" spans="2:29" ht="18.75" hidden="1" customHeight="1" x14ac:dyDescent="0.2">
      <c r="B27" s="123"/>
      <c r="C27" s="107"/>
      <c r="D27" s="107"/>
      <c r="E27" s="107"/>
      <c r="F27" s="107"/>
      <c r="G27" s="124"/>
    </row>
    <row r="28" spans="2:29" ht="15.75" hidden="1" x14ac:dyDescent="0.25">
      <c r="B28" s="130" t="s">
        <v>205</v>
      </c>
      <c r="C28" s="107"/>
      <c r="D28" s="107"/>
      <c r="E28" s="107"/>
      <c r="F28" s="107"/>
      <c r="G28" s="124"/>
    </row>
    <row r="29" spans="2:29" ht="37.5" hidden="1" customHeight="1" x14ac:dyDescent="0.2">
      <c r="B29" s="303" t="s">
        <v>266</v>
      </c>
      <c r="C29" s="304"/>
      <c r="D29" s="304"/>
      <c r="E29" s="304"/>
      <c r="F29" s="304"/>
      <c r="G29" s="305"/>
    </row>
    <row r="30" spans="2:29" ht="45" hidden="1" customHeight="1" x14ac:dyDescent="0.2">
      <c r="B30" s="303" t="s">
        <v>250</v>
      </c>
      <c r="C30" s="304"/>
      <c r="D30" s="304"/>
      <c r="E30" s="304"/>
      <c r="F30" s="304"/>
      <c r="G30" s="305"/>
    </row>
    <row r="31" spans="2:29" ht="25.5" hidden="1" customHeight="1" x14ac:dyDescent="0.2">
      <c r="B31" s="306" t="s">
        <v>209</v>
      </c>
      <c r="C31" s="307"/>
      <c r="D31" s="307"/>
      <c r="E31" s="307"/>
      <c r="F31" s="307"/>
      <c r="G31" s="308"/>
    </row>
    <row r="32" spans="2:29" ht="43.5" hidden="1" customHeight="1" x14ac:dyDescent="0.2">
      <c r="B32" s="306" t="s">
        <v>210</v>
      </c>
      <c r="C32" s="307"/>
      <c r="D32" s="307"/>
      <c r="E32" s="307"/>
      <c r="F32" s="307"/>
      <c r="G32" s="308"/>
    </row>
    <row r="33" spans="2:8" ht="16.5" hidden="1" thickBot="1" x14ac:dyDescent="0.3">
      <c r="B33" s="130"/>
      <c r="C33" s="107"/>
      <c r="D33" s="107"/>
      <c r="E33" s="107"/>
      <c r="F33" s="107"/>
      <c r="G33" s="124"/>
    </row>
    <row r="34" spans="2:8" ht="72" hidden="1" x14ac:dyDescent="0.2">
      <c r="B34" s="104" t="s">
        <v>211</v>
      </c>
      <c r="C34" s="105" t="s">
        <v>184</v>
      </c>
      <c r="D34" s="131" t="s">
        <v>157</v>
      </c>
      <c r="E34" s="105" t="s">
        <v>216</v>
      </c>
      <c r="F34" s="106" t="s">
        <v>168</v>
      </c>
      <c r="G34" s="132"/>
      <c r="H34" s="133"/>
    </row>
    <row r="35" spans="2:8" hidden="1" x14ac:dyDescent="0.2">
      <c r="B35" s="134" t="s">
        <v>176</v>
      </c>
      <c r="C35" s="135">
        <f>+BackEnd!I98</f>
        <v>0</v>
      </c>
      <c r="D35" s="136">
        <f>+IncentiveTweak!E9</f>
        <v>0.9</v>
      </c>
      <c r="E35" s="61"/>
      <c r="F35" s="119">
        <f>+D35*E35</f>
        <v>0</v>
      </c>
      <c r="G35" s="137" t="str">
        <f>+IncentiveTweak!K9</f>
        <v/>
      </c>
      <c r="H35" s="138"/>
    </row>
    <row r="36" spans="2:8" hidden="1" x14ac:dyDescent="0.2">
      <c r="B36" s="134" t="s">
        <v>177</v>
      </c>
      <c r="C36" s="135">
        <f>+BackEnd!I99</f>
        <v>0</v>
      </c>
      <c r="D36" s="136">
        <f>+IncentiveTweak!E10</f>
        <v>1.1000000000000001</v>
      </c>
      <c r="E36" s="61"/>
      <c r="F36" s="119">
        <f>+D36*E36</f>
        <v>0</v>
      </c>
      <c r="G36" s="137" t="str">
        <f>+IncentiveTweak!K10</f>
        <v/>
      </c>
      <c r="H36" s="138"/>
    </row>
    <row r="37" spans="2:8" ht="13.5" hidden="1" thickBot="1" x14ac:dyDescent="0.25">
      <c r="B37" s="139" t="s">
        <v>178</v>
      </c>
      <c r="C37" s="140">
        <f>+BackEnd!I100</f>
        <v>0</v>
      </c>
      <c r="D37" s="141">
        <f>+IncentiveTweak!E11</f>
        <v>0.65</v>
      </c>
      <c r="E37" s="63"/>
      <c r="F37" s="110">
        <f>+D37*E37</f>
        <v>0</v>
      </c>
      <c r="G37" s="137" t="str">
        <f>+IncentiveTweak!K11</f>
        <v/>
      </c>
      <c r="H37" s="138"/>
    </row>
    <row r="38" spans="2:8" hidden="1" x14ac:dyDescent="0.2">
      <c r="B38" s="123"/>
      <c r="C38" s="107"/>
      <c r="D38" s="142"/>
      <c r="E38" s="143" t="str">
        <f>+IncentiveTweak!M11</f>
        <v/>
      </c>
      <c r="F38" s="107"/>
      <c r="G38" s="124"/>
    </row>
    <row r="39" spans="2:8" hidden="1" x14ac:dyDescent="0.2">
      <c r="B39" s="123"/>
      <c r="C39" s="107"/>
      <c r="D39" s="142"/>
      <c r="E39" s="107"/>
      <c r="F39" s="107"/>
      <c r="G39" s="124"/>
    </row>
    <row r="40" spans="2:8" ht="15.75" hidden="1" x14ac:dyDescent="0.25">
      <c r="B40" s="144" t="s">
        <v>206</v>
      </c>
      <c r="C40" s="107"/>
      <c r="D40" s="142"/>
      <c r="E40" s="107"/>
      <c r="F40" s="107"/>
      <c r="G40" s="124"/>
    </row>
    <row r="41" spans="2:8" ht="85.5" hidden="1" customHeight="1" x14ac:dyDescent="0.2">
      <c r="B41" s="309" t="s">
        <v>249</v>
      </c>
      <c r="C41" s="310"/>
      <c r="D41" s="310"/>
      <c r="E41" s="310"/>
      <c r="F41" s="310"/>
      <c r="G41" s="311"/>
    </row>
    <row r="42" spans="2:8" ht="16.5" hidden="1" thickBot="1" x14ac:dyDescent="0.3">
      <c r="B42" s="144"/>
      <c r="C42" s="107"/>
      <c r="D42" s="142"/>
      <c r="E42" s="107"/>
      <c r="F42" s="107"/>
      <c r="G42" s="124"/>
    </row>
    <row r="43" spans="2:8" ht="50.25" hidden="1" customHeight="1" x14ac:dyDescent="0.2">
      <c r="B43" s="104" t="s">
        <v>158</v>
      </c>
      <c r="C43" s="105" t="s">
        <v>174</v>
      </c>
      <c r="D43" s="105" t="s">
        <v>152</v>
      </c>
      <c r="E43" s="105" t="s">
        <v>156</v>
      </c>
      <c r="F43" s="106" t="s">
        <v>168</v>
      </c>
      <c r="G43" s="132"/>
      <c r="H43" s="133"/>
    </row>
    <row r="44" spans="2:8" ht="13.5" hidden="1" thickBot="1" x14ac:dyDescent="0.25">
      <c r="B44" s="62"/>
      <c r="C44" s="140">
        <f>+BackEnd!E103</f>
        <v>0</v>
      </c>
      <c r="D44" s="145">
        <f>+IncentiveTweak!E12</f>
        <v>1.75</v>
      </c>
      <c r="E44" s="63"/>
      <c r="F44" s="110">
        <f>IF(E44&gt;C44,C44*+D44,E44*+D44)</f>
        <v>0</v>
      </c>
      <c r="G44" s="146"/>
      <c r="H44" s="138"/>
    </row>
    <row r="45" spans="2:8" hidden="1" x14ac:dyDescent="0.2">
      <c r="B45" s="123"/>
      <c r="C45" s="107"/>
      <c r="D45" s="107"/>
      <c r="E45" s="143" t="str">
        <f>+IncentiveTweak!K12</f>
        <v/>
      </c>
      <c r="F45" s="107"/>
      <c r="G45" s="124"/>
    </row>
    <row r="46" spans="2:8" hidden="1" x14ac:dyDescent="0.2">
      <c r="B46" s="123"/>
      <c r="C46" s="107"/>
      <c r="D46" s="107"/>
      <c r="E46" s="107"/>
      <c r="F46" s="107"/>
      <c r="G46" s="124"/>
    </row>
    <row r="47" spans="2:8" ht="15.75" hidden="1" x14ac:dyDescent="0.25">
      <c r="B47" s="144" t="s">
        <v>207</v>
      </c>
      <c r="C47" s="107"/>
      <c r="D47" s="107"/>
      <c r="E47" s="107"/>
      <c r="F47" s="107"/>
      <c r="G47" s="124"/>
    </row>
    <row r="48" spans="2:8" ht="109.5" hidden="1" customHeight="1" x14ac:dyDescent="0.2">
      <c r="B48" s="312" t="s">
        <v>248</v>
      </c>
      <c r="C48" s="313"/>
      <c r="D48" s="313"/>
      <c r="E48" s="313"/>
      <c r="F48" s="313"/>
      <c r="G48" s="314"/>
    </row>
    <row r="49" spans="2:8" ht="16.5" hidden="1" thickBot="1" x14ac:dyDescent="0.3">
      <c r="B49" s="144"/>
      <c r="C49" s="107"/>
      <c r="D49" s="107"/>
      <c r="E49" s="107"/>
      <c r="F49" s="107"/>
      <c r="G49" s="124"/>
    </row>
    <row r="50" spans="2:8" ht="48" hidden="1" x14ac:dyDescent="0.2">
      <c r="B50" s="104" t="s">
        <v>217</v>
      </c>
      <c r="C50" s="105" t="s">
        <v>174</v>
      </c>
      <c r="D50" s="105" t="s">
        <v>152</v>
      </c>
      <c r="E50" s="105" t="s">
        <v>155</v>
      </c>
      <c r="F50" s="106" t="s">
        <v>168</v>
      </c>
      <c r="G50" s="132"/>
      <c r="H50" s="133"/>
    </row>
    <row r="51" spans="2:8" ht="13.5" hidden="1" thickBot="1" x14ac:dyDescent="0.25">
      <c r="B51" s="62"/>
      <c r="C51" s="140">
        <f>+BackEnd!E111</f>
        <v>0</v>
      </c>
      <c r="D51" s="145">
        <f>+IncentiveTweak!E13</f>
        <v>2.85</v>
      </c>
      <c r="E51" s="63"/>
      <c r="F51" s="110">
        <f>IF(IF(E51&gt;C51,C44*+D51,E51*+D51)&gt;2000,2000,IF(E51&gt;C51,C44*+D51,E51*+D51))</f>
        <v>0</v>
      </c>
      <c r="G51" s="124"/>
      <c r="H51" s="147"/>
    </row>
    <row r="52" spans="2:8" ht="31.5" hidden="1" customHeight="1" thickBot="1" x14ac:dyDescent="0.25">
      <c r="B52" s="148"/>
      <c r="C52" s="149"/>
      <c r="D52" s="149"/>
      <c r="E52" s="150" t="str">
        <f>+IncentiveTweak!K13</f>
        <v/>
      </c>
      <c r="F52" s="149"/>
      <c r="G52" s="151"/>
    </row>
    <row r="53" spans="2:8" ht="13.5" thickBot="1" x14ac:dyDescent="0.25"/>
    <row r="54" spans="2:8" ht="15.75" customHeight="1" thickBot="1" x14ac:dyDescent="0.25">
      <c r="B54" s="28"/>
      <c r="C54" s="315" t="s">
        <v>219</v>
      </c>
      <c r="D54" s="316"/>
      <c r="E54" s="317"/>
      <c r="F54" s="152">
        <f>+IncentiveTweak!J14</f>
        <v>0</v>
      </c>
      <c r="G54" s="153"/>
      <c r="H54" s="153"/>
    </row>
    <row r="55" spans="2:8" x14ac:dyDescent="0.2">
      <c r="B55" s="80"/>
      <c r="C55" s="80"/>
      <c r="D55" s="80"/>
      <c r="E55" s="80"/>
      <c r="F55" s="80"/>
      <c r="G55" s="147"/>
      <c r="H55" s="153"/>
    </row>
    <row r="56" spans="2:8" s="81" customFormat="1" ht="15.75" x14ac:dyDescent="0.25">
      <c r="B56" s="29" t="s">
        <v>256</v>
      </c>
      <c r="C56" s="79"/>
      <c r="D56" s="79"/>
      <c r="E56" s="79"/>
      <c r="F56" s="79"/>
      <c r="G56" s="79"/>
      <c r="H56" s="29"/>
    </row>
    <row r="57" spans="2:8" s="81" customFormat="1" ht="33.75" customHeight="1" x14ac:dyDescent="0.25">
      <c r="B57" s="318" t="s">
        <v>252</v>
      </c>
      <c r="C57" s="318"/>
      <c r="D57" s="318"/>
      <c r="E57" s="318"/>
      <c r="F57" s="318"/>
      <c r="G57" s="313"/>
      <c r="H57" s="154"/>
    </row>
    <row r="58" spans="2:8" s="81" customFormat="1" ht="16.5" customHeight="1" x14ac:dyDescent="0.25">
      <c r="B58" s="319" t="s">
        <v>253</v>
      </c>
      <c r="C58" s="320"/>
      <c r="D58" s="320"/>
      <c r="E58" s="321"/>
      <c r="F58" s="86"/>
      <c r="G58" s="87"/>
      <c r="H58" s="88"/>
    </row>
    <row r="59" spans="2:8" s="81" customFormat="1" ht="16.5" customHeight="1" x14ac:dyDescent="0.25">
      <c r="B59" s="319" t="s">
        <v>254</v>
      </c>
      <c r="C59" s="320"/>
      <c r="D59" s="320"/>
      <c r="E59" s="321"/>
      <c r="F59" s="86"/>
      <c r="G59" s="82"/>
    </row>
    <row r="60" spans="2:8" s="81" customFormat="1" ht="16.5" customHeight="1" x14ac:dyDescent="0.25">
      <c r="B60" s="319" t="s">
        <v>255</v>
      </c>
      <c r="C60" s="320"/>
      <c r="D60" s="320"/>
      <c r="E60" s="321"/>
      <c r="F60" s="86"/>
      <c r="G60" s="82"/>
    </row>
    <row r="61" spans="2:8" s="81" customFormat="1" ht="16.5" customHeight="1" x14ac:dyDescent="0.25">
      <c r="B61" s="322" t="s">
        <v>220</v>
      </c>
      <c r="C61" s="323"/>
      <c r="D61" s="323"/>
      <c r="E61" s="324"/>
      <c r="F61" s="155">
        <f>SUM(F58:F60)</f>
        <v>0</v>
      </c>
      <c r="G61" s="82"/>
    </row>
    <row r="62" spans="2:8" s="81" customFormat="1" ht="16.5" customHeight="1" x14ac:dyDescent="0.25">
      <c r="B62" s="83"/>
      <c r="C62" s="83"/>
      <c r="D62" s="83"/>
      <c r="E62" s="83"/>
      <c r="F62" s="84"/>
      <c r="G62" s="82"/>
    </row>
    <row r="63" spans="2:8" s="81" customFormat="1" ht="15.75" x14ac:dyDescent="0.25">
      <c r="B63" s="79" t="s">
        <v>221</v>
      </c>
      <c r="C63" s="79"/>
      <c r="D63" s="79"/>
      <c r="E63" s="79"/>
      <c r="F63" s="79"/>
      <c r="G63" s="79"/>
      <c r="H63" s="29"/>
    </row>
    <row r="64" spans="2:8" s="81" customFormat="1" ht="15" x14ac:dyDescent="0.25">
      <c r="B64" s="302" t="s">
        <v>222</v>
      </c>
      <c r="C64" s="302"/>
      <c r="D64" s="302"/>
      <c r="E64" s="302"/>
      <c r="F64" s="302"/>
      <c r="G64" s="302"/>
      <c r="H64" s="85"/>
    </row>
    <row r="65" spans="2:11" s="81" customFormat="1" ht="15" x14ac:dyDescent="0.25">
      <c r="B65" s="302"/>
      <c r="C65" s="302"/>
      <c r="D65" s="302"/>
      <c r="E65" s="302"/>
      <c r="F65" s="302"/>
      <c r="G65" s="302"/>
      <c r="H65" s="85"/>
    </row>
    <row r="66" spans="2:11" s="81" customFormat="1" ht="15" x14ac:dyDescent="0.25">
      <c r="B66" s="77" t="s">
        <v>223</v>
      </c>
      <c r="C66" s="77"/>
      <c r="D66" s="77"/>
      <c r="E66" s="77"/>
      <c r="F66" s="77"/>
      <c r="G66" s="77"/>
      <c r="H66" s="85"/>
    </row>
    <row r="67" spans="2:11" s="81" customFormat="1" ht="15" x14ac:dyDescent="0.25">
      <c r="B67" s="77" t="s">
        <v>224</v>
      </c>
      <c r="C67" s="77"/>
      <c r="D67" s="77"/>
      <c r="E67" s="77"/>
      <c r="F67" s="77"/>
      <c r="G67" s="77"/>
      <c r="H67" s="85"/>
    </row>
    <row r="68" spans="2:11" s="81" customFormat="1" ht="15" x14ac:dyDescent="0.25">
      <c r="B68" s="77" t="s">
        <v>225</v>
      </c>
      <c r="C68" s="77"/>
      <c r="D68" s="77"/>
      <c r="E68" s="77"/>
      <c r="F68" s="77"/>
      <c r="G68" s="77"/>
      <c r="H68" s="85"/>
    </row>
    <row r="69" spans="2:11" s="81" customFormat="1" ht="15" x14ac:dyDescent="0.25">
      <c r="B69" s="77" t="s">
        <v>226</v>
      </c>
      <c r="C69" s="77"/>
      <c r="D69" s="77"/>
      <c r="E69" s="77"/>
      <c r="F69" s="77"/>
      <c r="G69" s="77"/>
      <c r="H69" s="85"/>
    </row>
    <row r="70" spans="2:11" s="81" customFormat="1" ht="15" x14ac:dyDescent="0.25">
      <c r="B70" s="77" t="s">
        <v>227</v>
      </c>
      <c r="C70" s="77"/>
      <c r="D70" s="77"/>
      <c r="E70" s="77"/>
      <c r="F70" s="77"/>
      <c r="G70" s="77"/>
      <c r="H70" s="85"/>
    </row>
    <row r="71" spans="2:11" s="81" customFormat="1" ht="15" x14ac:dyDescent="0.25">
      <c r="B71" s="77" t="s">
        <v>228</v>
      </c>
      <c r="C71" s="77"/>
      <c r="D71" s="77"/>
      <c r="E71" s="77"/>
      <c r="F71" s="77"/>
      <c r="G71" s="77"/>
      <c r="H71" s="85"/>
    </row>
    <row r="72" spans="2:11" s="81" customFormat="1" ht="15" x14ac:dyDescent="0.25">
      <c r="B72" s="302" t="s">
        <v>229</v>
      </c>
      <c r="C72" s="302"/>
      <c r="D72" s="302"/>
      <c r="E72" s="302"/>
      <c r="F72" s="302"/>
      <c r="G72" s="302"/>
      <c r="H72" s="85"/>
    </row>
    <row r="73" spans="2:11" s="81" customFormat="1" ht="15" x14ac:dyDescent="0.25">
      <c r="B73" s="302"/>
      <c r="C73" s="302"/>
      <c r="D73" s="302"/>
      <c r="E73" s="302"/>
      <c r="F73" s="302"/>
      <c r="G73" s="302"/>
      <c r="H73" s="85"/>
    </row>
    <row r="74" spans="2:11" s="156" customFormat="1" x14ac:dyDescent="0.2">
      <c r="B74" s="26"/>
      <c r="C74" s="26"/>
      <c r="D74" s="26"/>
      <c r="E74" s="26"/>
      <c r="F74" s="65"/>
      <c r="G74" s="26"/>
      <c r="H74" s="26"/>
      <c r="J74" s="157"/>
      <c r="K74" s="158"/>
    </row>
    <row r="75" spans="2:11" x14ac:dyDescent="0.2">
      <c r="B75" s="77" t="s">
        <v>230</v>
      </c>
      <c r="C75" s="78"/>
      <c r="D75" s="78"/>
      <c r="E75" s="78"/>
      <c r="F75" s="162">
        <f>F54</f>
        <v>0</v>
      </c>
    </row>
    <row r="76" spans="2:11" x14ac:dyDescent="0.2">
      <c r="B76" s="77"/>
      <c r="C76" s="77"/>
      <c r="D76" s="77"/>
      <c r="E76" s="77"/>
      <c r="F76" s="65"/>
    </row>
    <row r="77" spans="2:11" x14ac:dyDescent="0.2">
      <c r="B77" s="77" t="s">
        <v>257</v>
      </c>
      <c r="C77" s="77"/>
      <c r="D77" s="77"/>
      <c r="E77" s="77"/>
      <c r="F77" s="67">
        <f>F61/2</f>
        <v>0</v>
      </c>
    </row>
    <row r="78" spans="2:11" x14ac:dyDescent="0.2">
      <c r="B78" s="77"/>
      <c r="C78" s="77"/>
      <c r="D78" s="77"/>
      <c r="E78" s="77"/>
      <c r="F78" s="65"/>
    </row>
    <row r="79" spans="2:11" x14ac:dyDescent="0.2">
      <c r="B79" s="302" t="s">
        <v>258</v>
      </c>
      <c r="C79" s="302"/>
      <c r="D79" s="302"/>
      <c r="E79" s="302"/>
      <c r="F79" s="68">
        <f>IF(F75&gt;F77,F77,F75)</f>
        <v>0</v>
      </c>
    </row>
    <row r="80" spans="2:11" x14ac:dyDescent="0.2">
      <c r="B80" s="302"/>
      <c r="C80" s="302"/>
      <c r="D80" s="302"/>
      <c r="E80" s="302"/>
      <c r="F80" s="30"/>
      <c r="G80" s="27"/>
      <c r="H80" s="27"/>
    </row>
    <row r="81" spans="2:8" x14ac:dyDescent="0.2">
      <c r="B81" s="30"/>
      <c r="C81" s="26"/>
      <c r="D81" s="26"/>
      <c r="E81" s="26"/>
      <c r="F81" s="26"/>
      <c r="G81" s="27"/>
      <c r="H81" s="26"/>
    </row>
    <row r="82" spans="2:8" x14ac:dyDescent="0.2">
      <c r="B82" s="30"/>
      <c r="C82" s="64" t="s">
        <v>231</v>
      </c>
      <c r="D82" s="299"/>
      <c r="E82" s="299"/>
      <c r="F82" s="299"/>
      <c r="G82" s="27"/>
    </row>
    <row r="83" spans="2:8" x14ac:dyDescent="0.2">
      <c r="B83" s="30"/>
      <c r="C83" s="65"/>
      <c r="D83" s="30"/>
      <c r="E83" s="30"/>
      <c r="F83" s="30"/>
      <c r="G83" s="27"/>
    </row>
    <row r="84" spans="2:8" x14ac:dyDescent="0.2">
      <c r="B84" s="30"/>
      <c r="C84" s="64" t="s">
        <v>232</v>
      </c>
      <c r="D84" s="299"/>
      <c r="E84" s="299"/>
      <c r="F84" s="299"/>
      <c r="G84" s="27"/>
    </row>
    <row r="85" spans="2:8" x14ac:dyDescent="0.2">
      <c r="B85" s="30"/>
      <c r="C85" s="66"/>
      <c r="D85" s="30"/>
      <c r="E85" s="30"/>
      <c r="F85" s="30"/>
      <c r="G85" s="27"/>
    </row>
    <row r="86" spans="2:8" x14ac:dyDescent="0.2">
      <c r="B86" s="30"/>
      <c r="C86" s="64" t="s">
        <v>233</v>
      </c>
      <c r="D86" s="299"/>
      <c r="E86" s="299"/>
      <c r="F86" s="299"/>
      <c r="G86" s="27"/>
    </row>
    <row r="87" spans="2:8" x14ac:dyDescent="0.2">
      <c r="B87" s="30"/>
      <c r="C87" s="30"/>
      <c r="D87" s="30"/>
      <c r="E87" s="30"/>
      <c r="F87" s="30"/>
      <c r="G87" s="27"/>
    </row>
    <row r="88" spans="2:8" x14ac:dyDescent="0.2">
      <c r="B88" s="30"/>
      <c r="C88" s="30"/>
      <c r="D88" s="299"/>
      <c r="E88" s="299"/>
      <c r="F88" s="299"/>
      <c r="G88" s="27"/>
    </row>
    <row r="89" spans="2:8" x14ac:dyDescent="0.2">
      <c r="G89" s="27"/>
    </row>
    <row r="90" spans="2:8" hidden="1" x14ac:dyDescent="0.2"/>
    <row r="91" spans="2:8" hidden="1" x14ac:dyDescent="0.2"/>
    <row r="92" spans="2:8" hidden="1" x14ac:dyDescent="0.2"/>
    <row r="93" spans="2:8" x14ac:dyDescent="0.2"/>
    <row r="94" spans="2:8" x14ac:dyDescent="0.2"/>
    <row r="95" spans="2:8" x14ac:dyDescent="0.2"/>
    <row r="96" spans="2:8" x14ac:dyDescent="0.2"/>
    <row r="97" x14ac:dyDescent="0.2"/>
    <row r="98" x14ac:dyDescent="0.2"/>
    <row r="99" x14ac:dyDescent="0.2"/>
    <row r="100" x14ac:dyDescent="0.2"/>
    <row r="101" x14ac:dyDescent="0.2"/>
    <row r="102" x14ac:dyDescent="0.2"/>
    <row r="103" x14ac:dyDescent="0.2"/>
  </sheetData>
  <sheetProtection password="81E5" sheet="1" objects="1" scenarios="1"/>
  <mergeCells count="25">
    <mergeCell ref="B60:E60"/>
    <mergeCell ref="B61:E61"/>
    <mergeCell ref="B20:G20"/>
    <mergeCell ref="B29:G29"/>
    <mergeCell ref="B1:G1"/>
    <mergeCell ref="B4:G4"/>
    <mergeCell ref="B11:G11"/>
    <mergeCell ref="D22:G22"/>
    <mergeCell ref="B59:E59"/>
    <mergeCell ref="D82:F82"/>
    <mergeCell ref="D84:F84"/>
    <mergeCell ref="D86:F86"/>
    <mergeCell ref="D88:F88"/>
    <mergeCell ref="D25:G25"/>
    <mergeCell ref="B79:E80"/>
    <mergeCell ref="B30:G30"/>
    <mergeCell ref="B31:G31"/>
    <mergeCell ref="B32:G32"/>
    <mergeCell ref="B41:G41"/>
    <mergeCell ref="B48:G48"/>
    <mergeCell ref="C54:E54"/>
    <mergeCell ref="B64:G65"/>
    <mergeCell ref="B72:G73"/>
    <mergeCell ref="B57:G57"/>
    <mergeCell ref="B58:E58"/>
  </mergeCells>
  <dataValidations disablePrompts="1" count="3">
    <dataValidation type="whole" allowBlank="1" showInputMessage="1" showErrorMessage="1" error="Compressor size must be a whole number between 1 and 200 HP. For larger systems use IESO custom track programs.  " sqref="C22:C23">
      <formula1>1</formula1>
      <formula2>200</formula2>
    </dataValidation>
    <dataValidation type="whole" allowBlank="1" showInputMessage="1" showErrorMessage="1" error="Valid volumes are 0 to 10,000 US Gallons (USG). For larger volumes, use IESO Custom program track. " sqref="C25">
      <formula1>0</formula1>
      <formula2>10000</formula2>
    </dataValidation>
    <dataValidation type="whole" allowBlank="1" showInputMessage="1" showErrorMessage="1" error="Volume entered must be between 0 and Rule of Thumb number corresponding to the USG per cfm capacity selected." sqref="E35:E37">
      <formula1>0</formula1>
      <formula2>C35</formula2>
    </dataValidation>
  </dataValidations>
  <pageMargins left="0.7" right="0.7" top="1.2581249999999999" bottom="0.75" header="0.3" footer="0.3"/>
  <pageSetup scale="66" orientation="portrait" horizontalDpi="1200" verticalDpi="1200" r:id="rId1"/>
  <headerFooter alignWithMargins="0">
    <oddHeader>&amp;L&amp;G&amp;C&amp;"Verdana,Bold"&amp;16Version 1.0 - Retrofit Program
 Prescriptive Compressed Air Eligible Measures 
August 12, 2019</oddHeader>
    <oddFooter>&amp;L OMOfficial Mark of the Independent Electricity System Operator.  Used under license.
&amp;CV1.0&amp;RPage &amp;P of &amp;N</oddFooter>
  </headerFooter>
  <rowBreaks count="1" manualBreakCount="1">
    <brk id="18" max="16383" man="1"/>
  </rowBreaks>
  <ignoredErrors>
    <ignoredError sqref="F61" unlockedFormula="1"/>
  </ignoredErrors>
  <drawing r:id="rId2"/>
  <legacyDrawingHF r:id="rId3"/>
  <extLst>
    <ext xmlns:x14="http://schemas.microsoft.com/office/spreadsheetml/2009/9/main" uri="{CCE6A557-97BC-4b89-ADB6-D9C93CAAB3DF}">
      <x14:dataValidations xmlns:xm="http://schemas.microsoft.com/office/excel/2006/main" disablePrompts="1" count="2">
        <x14:dataValidation type="whole" errorStyle="warning" allowBlank="1" showInputMessage="1" showErrorMessage="1" error="Value greater than the Rule of Thumb capacity. Incentive will be capped.">
          <x14:formula1>
            <xm:f>0</xm:f>
          </x14:formula1>
          <x14:formula2>
            <xm:f>IncentiveTweak!L12</xm:f>
          </x14:formula2>
          <xm:sqref>E44</xm:sqref>
        </x14:dataValidation>
        <x14:dataValidation type="whole" errorStyle="warning" allowBlank="1" showInputMessage="1" showErrorMessage="1" error="Value greater than the Rule of Thumb capacity. Incentive will be capped.">
          <x14:formula1>
            <xm:f>0</xm:f>
          </x14:formula1>
          <x14:formula2>
            <xm:f>IncentiveTweak!L13</xm:f>
          </x14:formula2>
          <xm:sqref>E51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
  <sheetViews>
    <sheetView workbookViewId="0">
      <selection activeCell="A8" sqref="A8"/>
    </sheetView>
  </sheetViews>
  <sheetFormatPr defaultRowHeight="12.75" x14ac:dyDescent="0.2"/>
  <cols>
    <col min="1" max="1" width="170.5703125" style="356" bestFit="1" customWidth="1"/>
    <col min="2" max="16" width="9.140625" style="356"/>
    <col min="17" max="17" width="14.5703125" style="356" customWidth="1"/>
    <col min="18" max="16384" width="9.140625" style="356"/>
  </cols>
  <sheetData>
    <row r="1" spans="1:18" x14ac:dyDescent="0.2">
      <c r="A1" s="355" t="s">
        <v>278</v>
      </c>
      <c r="R1" s="357"/>
    </row>
  </sheetData>
  <hyperlinks>
    <hyperlink ref="A1" r:id="rId1" tooltip="click to email retrofit@ieso.ca"/>
  </hyperlinks>
  <pageMargins left="0.7" right="0.7" top="0.75" bottom="0.75" header="0.3" footer="0.3"/>
  <pageSetup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workbookViewId="0">
      <selection activeCell="A4" sqref="A4"/>
    </sheetView>
  </sheetViews>
  <sheetFormatPr defaultRowHeight="15" x14ac:dyDescent="0.25"/>
  <cols>
    <col min="1" max="1" width="48.85546875" bestFit="1" customWidth="1"/>
    <col min="2" max="2" width="9.42578125" bestFit="1" customWidth="1"/>
    <col min="3" max="3" width="81.5703125" bestFit="1" customWidth="1"/>
  </cols>
  <sheetData>
    <row r="1" spans="1:3" x14ac:dyDescent="0.25">
      <c r="A1" s="159" t="s">
        <v>259</v>
      </c>
      <c r="B1" s="159" t="s">
        <v>260</v>
      </c>
      <c r="C1" s="159" t="s">
        <v>261</v>
      </c>
    </row>
    <row r="2" spans="1:3" x14ac:dyDescent="0.25">
      <c r="A2" t="s">
        <v>238</v>
      </c>
      <c r="B2" s="90">
        <v>43277</v>
      </c>
      <c r="C2" t="s">
        <v>262</v>
      </c>
    </row>
    <row r="3" spans="1:3" ht="14.45" customHeight="1" x14ac:dyDescent="0.25">
      <c r="A3" s="89"/>
      <c r="B3" s="89"/>
    </row>
  </sheetData>
  <sheetProtection algorithmName="SHA-512" hashValue="dRvLMhioLgdKWHW3d1yRX48/hk2GwegHTfCaVYfKTaQSE4brMHHD2FYiJ8E9awGXqOo9+jxRMI+IzFupNo7ZXg==" saltValue="02pS938cSK1SiXonqytiQg==" spinCount="100000" sheet="1" objects="1" scenarios="1"/>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18"/>
  <sheetViews>
    <sheetView workbookViewId="0"/>
  </sheetViews>
  <sheetFormatPr defaultColWidth="9.140625" defaultRowHeight="12.75" x14ac:dyDescent="0.2"/>
  <cols>
    <col min="1" max="1" width="34.28515625" style="1" customWidth="1"/>
    <col min="2" max="5" width="11.85546875" style="1" customWidth="1"/>
    <col min="6" max="6" width="29.7109375" style="1" customWidth="1"/>
    <col min="7" max="8" width="9.140625" style="1"/>
    <col min="9" max="9" width="12" style="1" customWidth="1"/>
    <col min="10" max="10" width="11" style="1" customWidth="1"/>
    <col min="11" max="11" width="19.28515625" style="1" customWidth="1"/>
    <col min="12" max="16384" width="9.140625" style="1"/>
  </cols>
  <sheetData>
    <row r="1" spans="1:13" ht="116.25" customHeight="1" thickBot="1" x14ac:dyDescent="0.25">
      <c r="A1" s="13" t="s">
        <v>192</v>
      </c>
      <c r="B1" s="13" t="s">
        <v>191</v>
      </c>
      <c r="C1" s="11" t="s">
        <v>190</v>
      </c>
      <c r="D1" s="11" t="s">
        <v>236</v>
      </c>
      <c r="E1" s="31" t="s">
        <v>202</v>
      </c>
      <c r="F1" s="11" t="s">
        <v>196</v>
      </c>
      <c r="G1" s="11" t="s">
        <v>197</v>
      </c>
      <c r="H1" s="11" t="s">
        <v>198</v>
      </c>
      <c r="I1" s="11" t="s">
        <v>199</v>
      </c>
      <c r="J1" s="12" t="s">
        <v>200</v>
      </c>
      <c r="K1" s="332" t="s">
        <v>234</v>
      </c>
      <c r="L1" s="333"/>
      <c r="M1" s="334"/>
    </row>
    <row r="2" spans="1:13" x14ac:dyDescent="0.2">
      <c r="A2" s="14" t="str">
        <f>+BackEnd!A82</f>
        <v>1/8"  Drain</v>
      </c>
      <c r="B2" s="15">
        <f>MROUND(BackEnd!L82,0.5)</f>
        <v>13</v>
      </c>
      <c r="C2" s="5">
        <f>MROUND(BackEnd!M82,0.5)</f>
        <v>30.5</v>
      </c>
      <c r="D2" s="5">
        <v>253</v>
      </c>
      <c r="E2" s="69">
        <f>IF(C2&gt;(D2/2),(D2/2),C2)</f>
        <v>30.5</v>
      </c>
      <c r="F2" s="2" t="s">
        <v>193</v>
      </c>
      <c r="G2" s="3"/>
      <c r="H2" s="4"/>
      <c r="I2" s="2"/>
      <c r="J2" s="6"/>
      <c r="K2" s="33"/>
      <c r="L2" s="34"/>
      <c r="M2" s="35"/>
    </row>
    <row r="3" spans="1:13" x14ac:dyDescent="0.2">
      <c r="A3" s="14" t="str">
        <f>+BackEnd!A83</f>
        <v>1/4"  Drain</v>
      </c>
      <c r="B3" s="15">
        <f>MROUND(BackEnd!L83,0.5)</f>
        <v>53</v>
      </c>
      <c r="C3" s="5">
        <f>MROUND(BackEnd!M83,0.5)</f>
        <v>122</v>
      </c>
      <c r="D3" s="5">
        <v>253</v>
      </c>
      <c r="E3" s="69">
        <f t="shared" ref="E3:E8" si="0">IF(C3&gt;(D3/2),(D3/2),C3)</f>
        <v>122</v>
      </c>
      <c r="F3" s="2" t="s">
        <v>193</v>
      </c>
      <c r="G3" s="3"/>
      <c r="H3" s="4"/>
      <c r="I3" s="2"/>
      <c r="J3" s="6"/>
      <c r="K3" s="33"/>
      <c r="L3" s="34"/>
      <c r="M3" s="35"/>
    </row>
    <row r="4" spans="1:13" x14ac:dyDescent="0.2">
      <c r="A4" s="14" t="str">
        <f>+BackEnd!A84</f>
        <v>3/8" Drain</v>
      </c>
      <c r="B4" s="15">
        <f>MROUND(BackEnd!L84,0.5)</f>
        <v>119</v>
      </c>
      <c r="C4" s="5">
        <f>MROUND(BackEnd!M84,0.5)</f>
        <v>275</v>
      </c>
      <c r="D4" s="5">
        <v>253</v>
      </c>
      <c r="E4" s="69">
        <f t="shared" si="0"/>
        <v>126.5</v>
      </c>
      <c r="F4" s="2" t="s">
        <v>193</v>
      </c>
      <c r="G4" s="3">
        <f>+BackEnd!H84*CompAirPrescriptive!D7</f>
        <v>0</v>
      </c>
      <c r="H4" s="4">
        <f>+BackEnd!J84*CompAirPrescriptive!D7</f>
        <v>0</v>
      </c>
      <c r="I4" s="2">
        <f>+CompAirPrescriptive!D7</f>
        <v>0</v>
      </c>
      <c r="J4" s="6">
        <f>+CompAirPrescriptive!E7</f>
        <v>0</v>
      </c>
      <c r="K4" s="33"/>
      <c r="L4" s="34"/>
      <c r="M4" s="35"/>
    </row>
    <row r="5" spans="1:13" x14ac:dyDescent="0.2">
      <c r="A5" s="14" t="str">
        <f>+BackEnd!A88</f>
        <v>1/16"  Engineered Nozzle</v>
      </c>
      <c r="B5" s="15">
        <f>MROUND(BackEnd!J88,0.5)</f>
        <v>12.5</v>
      </c>
      <c r="C5" s="5">
        <f>MROUND(BackEnd!K88,0.5)</f>
        <v>28.5</v>
      </c>
      <c r="D5" s="5">
        <v>37.837499999999999</v>
      </c>
      <c r="E5" s="69">
        <f t="shared" si="0"/>
        <v>18.918749999999999</v>
      </c>
      <c r="F5" s="2" t="s">
        <v>194</v>
      </c>
      <c r="G5" s="3">
        <f>+BackEnd!F88*CompAirPrescriptive!E14</f>
        <v>0</v>
      </c>
      <c r="H5" s="4">
        <f>+BackEnd!H88*CompAirPrescriptive!E14</f>
        <v>0</v>
      </c>
      <c r="I5" s="2">
        <f>+CompAirPrescriptive!E14</f>
        <v>0</v>
      </c>
      <c r="J5" s="6">
        <f>+CompAirPrescriptive!F14</f>
        <v>0</v>
      </c>
      <c r="K5" s="33"/>
      <c r="L5" s="34"/>
      <c r="M5" s="35"/>
    </row>
    <row r="6" spans="1:13" x14ac:dyDescent="0.2">
      <c r="A6" s="14" t="str">
        <f>+BackEnd!A89</f>
        <v>1/8" Engineered Nozzle</v>
      </c>
      <c r="B6" s="15">
        <f>MROUND(BackEnd!J89,0.5)</f>
        <v>49</v>
      </c>
      <c r="C6" s="5">
        <f>MROUND(BackEnd!K89,0.5)</f>
        <v>113</v>
      </c>
      <c r="D6" s="5">
        <v>69.749999999999986</v>
      </c>
      <c r="E6" s="69">
        <f t="shared" si="0"/>
        <v>34.874999999999993</v>
      </c>
      <c r="F6" s="2" t="s">
        <v>194</v>
      </c>
      <c r="G6" s="3">
        <f>+BackEnd!F89*CompAirPrescriptive!E15</f>
        <v>0</v>
      </c>
      <c r="H6" s="4">
        <f>+BackEnd!H89*CompAirPrescriptive!E15</f>
        <v>0</v>
      </c>
      <c r="I6" s="2">
        <f>+CompAirPrescriptive!E15</f>
        <v>0</v>
      </c>
      <c r="J6" s="6">
        <f>+CompAirPrescriptive!F15</f>
        <v>0</v>
      </c>
      <c r="K6" s="33"/>
      <c r="L6" s="34"/>
      <c r="M6" s="35"/>
    </row>
    <row r="7" spans="1:13" x14ac:dyDescent="0.2">
      <c r="A7" s="14" t="str">
        <f>+BackEnd!A90</f>
        <v>1/4"  Engineered Nozzle</v>
      </c>
      <c r="B7" s="15">
        <f>MROUND(BackEnd!J90,0.5)</f>
        <v>195.5</v>
      </c>
      <c r="C7" s="5">
        <f>MROUND(BackEnd!K90,0.5)</f>
        <v>451.5</v>
      </c>
      <c r="D7" s="5">
        <v>121.51898734177215</v>
      </c>
      <c r="E7" s="69">
        <f t="shared" si="0"/>
        <v>60.759493670886073</v>
      </c>
      <c r="F7" s="2" t="s">
        <v>194</v>
      </c>
      <c r="G7" s="3">
        <f>+BackEnd!F90*CompAirPrescriptive!E16</f>
        <v>0</v>
      </c>
      <c r="H7" s="4">
        <f>+BackEnd!H90*CompAirPrescriptive!E16</f>
        <v>0</v>
      </c>
      <c r="I7" s="2">
        <f>+CompAirPrescriptive!E16</f>
        <v>0</v>
      </c>
      <c r="J7" s="6">
        <f>+CompAirPrescriptive!F16</f>
        <v>0</v>
      </c>
      <c r="K7" s="33"/>
      <c r="L7" s="34"/>
      <c r="M7" s="35"/>
    </row>
    <row r="8" spans="1:13" x14ac:dyDescent="0.2">
      <c r="A8" s="14" t="str">
        <f>+BackEnd!A91</f>
        <v>3/8" Engineered Nozzle</v>
      </c>
      <c r="B8" s="15">
        <f>MROUND(BackEnd!J91,0.5)</f>
        <v>441</v>
      </c>
      <c r="C8" s="5">
        <f>MROUND(BackEnd!K91,0.5)</f>
        <v>1018.5</v>
      </c>
      <c r="D8" s="5">
        <v>170.88607594936707</v>
      </c>
      <c r="E8" s="69">
        <f t="shared" si="0"/>
        <v>85.443037974683534</v>
      </c>
      <c r="F8" s="2" t="s">
        <v>194</v>
      </c>
      <c r="G8" s="3">
        <f>+BackEnd!F91*CompAirPrescriptive!E17</f>
        <v>0</v>
      </c>
      <c r="H8" s="4">
        <f>+BackEnd!H91*CompAirPrescriptive!E17</f>
        <v>0</v>
      </c>
      <c r="I8" s="2">
        <f>+CompAirPrescriptive!E17</f>
        <v>0</v>
      </c>
      <c r="J8" s="6">
        <f>+CompAirPrescriptive!F17</f>
        <v>0</v>
      </c>
      <c r="K8" s="33"/>
      <c r="L8" s="34"/>
      <c r="M8" s="35"/>
    </row>
    <row r="9" spans="1:13" x14ac:dyDescent="0.2">
      <c r="A9" s="14" t="str">
        <f>+BackEnd!A98</f>
        <v>3 USG/cfm</v>
      </c>
      <c r="B9" s="15" t="e">
        <f>MROUND(BackEnd!L98,0.05)</f>
        <v>#DIV/0!</v>
      </c>
      <c r="C9" s="5" t="e">
        <f>MROUND(BackEnd!M98,0.05)</f>
        <v>#DIV/0!</v>
      </c>
      <c r="D9" s="5"/>
      <c r="E9" s="32">
        <v>0.9</v>
      </c>
      <c r="F9" s="2" t="s">
        <v>201</v>
      </c>
      <c r="G9" s="3">
        <f>IF(CompAirPrescriptive!C35=0,0,BackEnd!D98/CompAirPrescriptive!C35*CompAirPrescriptive!E35)</f>
        <v>0</v>
      </c>
      <c r="H9" s="4">
        <f>IF(CompAirPrescriptive!C35=0,0,BackEnd!J98/CompAirPrescriptive!C35*CompAirPrescriptive!E35)</f>
        <v>0</v>
      </c>
      <c r="I9" s="2">
        <f>+CompAirPrescriptive!E35</f>
        <v>0</v>
      </c>
      <c r="J9" s="6">
        <f>+CompAirPrescriptive!F35</f>
        <v>0</v>
      </c>
      <c r="K9" s="36" t="str">
        <f>IF(CompAirPrescriptive!E35&gt;CompAirPrescriptive!C35,"Exceeds Allowable Size","")</f>
        <v/>
      </c>
      <c r="L9" s="34">
        <f>IF(I9&gt;0,1,0)</f>
        <v>0</v>
      </c>
      <c r="M9" s="35"/>
    </row>
    <row r="10" spans="1:13" x14ac:dyDescent="0.2">
      <c r="A10" s="14" t="str">
        <f>+BackEnd!A99</f>
        <v>5 USG/cfm</v>
      </c>
      <c r="B10" s="15" t="e">
        <f>MROUND(BackEnd!L99,0.05)</f>
        <v>#DIV/0!</v>
      </c>
      <c r="C10" s="5" t="e">
        <f>MROUND(BackEnd!M99,0.05)</f>
        <v>#DIV/0!</v>
      </c>
      <c r="D10" s="5"/>
      <c r="E10" s="32">
        <v>1.1000000000000001</v>
      </c>
      <c r="F10" s="2" t="s">
        <v>201</v>
      </c>
      <c r="G10" s="3">
        <f>IF(CompAirPrescriptive!C36=0,0,BackEnd!D99/CompAirPrescriptive!C36*CompAirPrescriptive!E36)</f>
        <v>0</v>
      </c>
      <c r="H10" s="4">
        <f>IF(CompAirPrescriptive!C36=0,0,BackEnd!J99/CompAirPrescriptive!C36*CompAirPrescriptive!E36)</f>
        <v>0</v>
      </c>
      <c r="I10" s="2">
        <f>+CompAirPrescriptive!E36</f>
        <v>0</v>
      </c>
      <c r="J10" s="6">
        <f>+CompAirPrescriptive!F36</f>
        <v>0</v>
      </c>
      <c r="K10" s="36" t="str">
        <f>IF(CompAirPrescriptive!E36&gt;CompAirPrescriptive!C36,"Exceeds Allowable Size","")</f>
        <v/>
      </c>
      <c r="L10" s="34">
        <f t="shared" ref="L10:L11" si="1">IF(I10&gt;0,1,0)</f>
        <v>0</v>
      </c>
      <c r="M10" s="35"/>
    </row>
    <row r="11" spans="1:13" x14ac:dyDescent="0.2">
      <c r="A11" s="14" t="str">
        <f>+BackEnd!A100</f>
        <v>10 USG/cfm</v>
      </c>
      <c r="B11" s="15" t="e">
        <f>MROUND(BackEnd!L100,0.05)</f>
        <v>#DIV/0!</v>
      </c>
      <c r="C11" s="5" t="e">
        <f>MROUND(BackEnd!M100,0.05)</f>
        <v>#DIV/0!</v>
      </c>
      <c r="D11" s="5"/>
      <c r="E11" s="32">
        <v>0.65</v>
      </c>
      <c r="F11" s="2" t="s">
        <v>201</v>
      </c>
      <c r="G11" s="3">
        <f>IF(CompAirPrescriptive!C37=0,0,BackEnd!D100/CompAirPrescriptive!C37*CompAirPrescriptive!E37)</f>
        <v>0</v>
      </c>
      <c r="H11" s="4">
        <f>IF(CompAirPrescriptive!C37=0,0,BackEnd!J100/CompAirPrescriptive!C37*CompAirPrescriptive!E37)</f>
        <v>0</v>
      </c>
      <c r="I11" s="2">
        <f>+CompAirPrescriptive!E37</f>
        <v>0</v>
      </c>
      <c r="J11" s="6">
        <f>+CompAirPrescriptive!F37</f>
        <v>0</v>
      </c>
      <c r="K11" s="36" t="str">
        <f>IF(CompAirPrescriptive!E37&gt;CompAirPrescriptive!C37,"Exceeds Allowable Size","")</f>
        <v/>
      </c>
      <c r="L11" s="34">
        <f t="shared" si="1"/>
        <v>0</v>
      </c>
      <c r="M11" s="35" t="str">
        <f>IF(L9+L10+L11&gt;1,"Error: Please enter ONE Choice from either 3, 5 or 10 USG/cfm", "")</f>
        <v/>
      </c>
    </row>
    <row r="12" spans="1:13" x14ac:dyDescent="0.2">
      <c r="A12" s="14" t="str">
        <f>+BackEnd!A107</f>
        <v>Cycling Dyer</v>
      </c>
      <c r="B12" s="15" t="e">
        <f>MROUND(BackEnd!H107,0.05)</f>
        <v>#DIV/0!</v>
      </c>
      <c r="C12" s="5" t="e">
        <f>MROUND(BackEnd!I107,0.05)</f>
        <v>#DIV/0!</v>
      </c>
      <c r="D12" s="5"/>
      <c r="E12" s="32">
        <v>1.75</v>
      </c>
      <c r="F12" s="2" t="s">
        <v>195</v>
      </c>
      <c r="G12" s="3" t="e">
        <f>+BackEnd!D107/CompAirPrescriptive!C44*CompAirPrescriptive!E44</f>
        <v>#DIV/0!</v>
      </c>
      <c r="H12" s="4" t="e">
        <f>+BackEnd!F107/CompAirPrescriptive!C44*CompAirPrescriptive!E44</f>
        <v>#DIV/0!</v>
      </c>
      <c r="I12" s="2">
        <f>+CompAirPrescriptive!E44</f>
        <v>0</v>
      </c>
      <c r="J12" s="6">
        <f>+CompAirPrescriptive!F44</f>
        <v>0</v>
      </c>
      <c r="K12" s="36" t="str">
        <f>IF(I12&gt;L12,"Greater than Rule of Thumb Capacity","")</f>
        <v/>
      </c>
      <c r="L12" s="37">
        <f>+CompAirPrescriptive!C44</f>
        <v>0</v>
      </c>
      <c r="M12" s="35"/>
    </row>
    <row r="13" spans="1:13" x14ac:dyDescent="0.2">
      <c r="A13" s="14" t="str">
        <f>+BackEnd!A115</f>
        <v xml:space="preserve">Dewpoint Dependent </v>
      </c>
      <c r="B13" s="15" t="e">
        <f>MROUND(BackEnd!I115,0.05)</f>
        <v>#DIV/0!</v>
      </c>
      <c r="C13" s="5" t="e">
        <f>MROUND(BackEnd!J115,0.05)</f>
        <v>#DIV/0!</v>
      </c>
      <c r="D13" s="5"/>
      <c r="E13" s="32">
        <v>2.85</v>
      </c>
      <c r="F13" s="2" t="s">
        <v>195</v>
      </c>
      <c r="G13" s="3" t="e">
        <f>+BackEnd!E115/CompAirPrescriptive!C51*CompAirPrescriptive!E51</f>
        <v>#DIV/0!</v>
      </c>
      <c r="H13" s="4" t="e">
        <f>+BackEnd!G115/CompAirPrescriptive!C51*CompAirPrescriptive!E51</f>
        <v>#DIV/0!</v>
      </c>
      <c r="I13" s="2">
        <f>+CompAirPrescriptive!E51</f>
        <v>0</v>
      </c>
      <c r="J13" s="6">
        <f>+CompAirPrescriptive!F51</f>
        <v>0</v>
      </c>
      <c r="K13" s="36" t="str">
        <f>IF(I13&gt;L13,"Greater than Rule of Thumb Capacity","")</f>
        <v/>
      </c>
      <c r="L13" s="37">
        <f>+CompAirPrescriptive!C51</f>
        <v>0</v>
      </c>
      <c r="M13" s="35"/>
    </row>
    <row r="14" spans="1:13" ht="13.5" thickBot="1" x14ac:dyDescent="0.25">
      <c r="A14" s="7"/>
      <c r="B14" s="7"/>
      <c r="C14" s="8"/>
      <c r="D14" s="8"/>
      <c r="E14" s="16"/>
      <c r="F14" s="9" t="s">
        <v>203</v>
      </c>
      <c r="G14" s="41" t="e">
        <f>SUM(G2:G13)</f>
        <v>#DIV/0!</v>
      </c>
      <c r="H14" s="42" t="e">
        <f>SUM(H2:H13)</f>
        <v>#DIV/0!</v>
      </c>
      <c r="I14" s="9"/>
      <c r="J14" s="10">
        <f>SUM(J2:J13)</f>
        <v>0</v>
      </c>
      <c r="K14" s="38"/>
      <c r="L14" s="39"/>
      <c r="M14" s="40"/>
    </row>
    <row r="15" spans="1:13" x14ac:dyDescent="0.2">
      <c r="F15" s="3"/>
      <c r="G15" s="4"/>
      <c r="H15" s="2"/>
      <c r="I15" s="2"/>
      <c r="J15" s="2"/>
      <c r="K15" s="2"/>
    </row>
    <row r="16" spans="1:13" x14ac:dyDescent="0.2">
      <c r="C16" s="72"/>
      <c r="E16" s="73"/>
      <c r="F16" s="2"/>
      <c r="G16" s="2"/>
      <c r="H16" s="2"/>
      <c r="I16" s="2"/>
      <c r="J16" s="2"/>
      <c r="K16" s="2"/>
    </row>
    <row r="17" spans="3:11" x14ac:dyDescent="0.2">
      <c r="C17" s="72"/>
      <c r="E17" s="73"/>
      <c r="F17" s="2"/>
      <c r="G17" s="2"/>
      <c r="H17" s="2"/>
      <c r="I17" s="2"/>
      <c r="J17" s="2"/>
      <c r="K17" s="2"/>
    </row>
    <row r="18" spans="3:11" x14ac:dyDescent="0.2">
      <c r="F18" s="2"/>
      <c r="G18" s="2"/>
      <c r="H18" s="2"/>
      <c r="I18" s="2"/>
      <c r="J18" s="2"/>
      <c r="K18" s="2"/>
    </row>
  </sheetData>
  <mergeCells count="1">
    <mergeCell ref="K1:M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N327"/>
  <sheetViews>
    <sheetView topLeftCell="A70" zoomScale="70" zoomScaleNormal="70" workbookViewId="0">
      <selection activeCell="J91" sqref="J91"/>
    </sheetView>
  </sheetViews>
  <sheetFormatPr defaultColWidth="9.140625" defaultRowHeight="15" x14ac:dyDescent="0.25"/>
  <cols>
    <col min="1" max="1" width="22.28515625" style="20" customWidth="1"/>
    <col min="2" max="2" width="11.42578125" style="20" customWidth="1"/>
    <col min="3" max="3" width="14.140625" style="20" customWidth="1"/>
    <col min="4" max="4" width="13" style="20" customWidth="1"/>
    <col min="5" max="5" width="12.85546875" style="20" customWidth="1"/>
    <col min="6" max="6" width="11.42578125" style="20" customWidth="1"/>
    <col min="7" max="7" width="16" style="20" customWidth="1"/>
    <col min="8" max="8" width="18.140625" style="20" customWidth="1"/>
    <col min="9" max="9" width="15.42578125" style="20" customWidth="1"/>
    <col min="10" max="10" width="12.42578125" style="20" customWidth="1"/>
    <col min="11" max="11" width="11.42578125" style="20" customWidth="1"/>
    <col min="12" max="12" width="12.28515625" style="20" customWidth="1"/>
    <col min="13" max="13" width="42.42578125" style="20" customWidth="1"/>
    <col min="14" max="17" width="11.42578125" style="20" customWidth="1"/>
    <col min="18" max="18" width="9.140625" style="20"/>
    <col min="19" max="33" width="9" style="20" customWidth="1"/>
    <col min="34" max="34" width="12.42578125" style="20" customWidth="1"/>
    <col min="35" max="57" width="9" style="20" customWidth="1"/>
    <col min="58" max="16384" width="9.140625" style="20"/>
  </cols>
  <sheetData>
    <row r="2" spans="1:13" x14ac:dyDescent="0.25">
      <c r="A2" s="20">
        <f>+CompAirPrescriptive!C22</f>
        <v>0</v>
      </c>
      <c r="B2" s="20" t="s">
        <v>50</v>
      </c>
      <c r="M2" s="20" t="s">
        <v>47</v>
      </c>
    </row>
    <row r="3" spans="1:13" x14ac:dyDescent="0.25">
      <c r="A3" s="20">
        <f>+CompAirPrescriptive!C25</f>
        <v>0</v>
      </c>
      <c r="B3" s="20" t="s">
        <v>179</v>
      </c>
      <c r="M3" s="20" t="s">
        <v>149</v>
      </c>
    </row>
    <row r="4" spans="1:13" x14ac:dyDescent="0.25">
      <c r="A4" s="20">
        <v>575</v>
      </c>
      <c r="B4" s="20" t="s">
        <v>49</v>
      </c>
    </row>
    <row r="5" spans="1:13" x14ac:dyDescent="0.25">
      <c r="A5" s="19">
        <v>0.85</v>
      </c>
      <c r="B5" s="20" t="s">
        <v>92</v>
      </c>
    </row>
    <row r="6" spans="1:13" x14ac:dyDescent="0.25">
      <c r="A6" s="18">
        <f>+A2*A4*A5*SQRT(3)/1000</f>
        <v>0</v>
      </c>
      <c r="B6" s="20" t="s">
        <v>55</v>
      </c>
    </row>
    <row r="7" spans="1:13" x14ac:dyDescent="0.25">
      <c r="A7" s="20">
        <v>4.5</v>
      </c>
      <c r="M7" s="20" t="s">
        <v>63</v>
      </c>
    </row>
    <row r="8" spans="1:13" x14ac:dyDescent="0.25">
      <c r="A8" s="20">
        <f>+A2*A7</f>
        <v>0</v>
      </c>
      <c r="B8" s="20" t="s">
        <v>62</v>
      </c>
      <c r="M8" s="20" t="s">
        <v>61</v>
      </c>
    </row>
    <row r="9" spans="1:13" x14ac:dyDescent="0.25">
      <c r="A9" s="20">
        <v>16</v>
      </c>
      <c r="B9" s="20" t="s">
        <v>52</v>
      </c>
      <c r="M9" s="20" t="s">
        <v>51</v>
      </c>
    </row>
    <row r="10" spans="1:13" x14ac:dyDescent="0.25">
      <c r="A10" s="20">
        <v>5</v>
      </c>
      <c r="B10" s="20" t="s">
        <v>53</v>
      </c>
      <c r="M10" s="20" t="s">
        <v>16</v>
      </c>
    </row>
    <row r="11" spans="1:13" x14ac:dyDescent="0.25">
      <c r="A11" s="20">
        <v>49</v>
      </c>
      <c r="B11" s="20" t="s">
        <v>54</v>
      </c>
      <c r="M11" s="20" t="s">
        <v>164</v>
      </c>
    </row>
    <row r="12" spans="1:13" x14ac:dyDescent="0.25">
      <c r="A12" s="58">
        <v>3920</v>
      </c>
      <c r="B12" s="20" t="s">
        <v>52</v>
      </c>
      <c r="C12" s="59" t="s">
        <v>235</v>
      </c>
      <c r="M12" s="20" t="s">
        <v>175</v>
      </c>
    </row>
    <row r="13" spans="1:13" x14ac:dyDescent="0.25">
      <c r="A13" s="43">
        <f>IF(A8=0,18.8,A6/A8*100)</f>
        <v>18.8</v>
      </c>
      <c r="B13" s="20" t="s">
        <v>163</v>
      </c>
      <c r="M13" s="20" t="s">
        <v>100</v>
      </c>
    </row>
    <row r="14" spans="1:13" x14ac:dyDescent="0.25">
      <c r="A14" s="44">
        <v>0.1</v>
      </c>
      <c r="B14" s="20" t="s">
        <v>165</v>
      </c>
    </row>
    <row r="15" spans="1:13" x14ac:dyDescent="0.25">
      <c r="A15" s="22">
        <f>+A13*(1+A14)</f>
        <v>20.680000000000003</v>
      </c>
    </row>
    <row r="17" spans="1:15" x14ac:dyDescent="0.25">
      <c r="A17" s="171" t="s">
        <v>0</v>
      </c>
      <c r="B17" s="207">
        <v>0</v>
      </c>
      <c r="C17" s="207">
        <v>0.1</v>
      </c>
      <c r="D17" s="207">
        <v>0.2</v>
      </c>
      <c r="E17" s="207">
        <v>0.3</v>
      </c>
      <c r="F17" s="207">
        <v>0.4</v>
      </c>
      <c r="G17" s="207">
        <v>0.5</v>
      </c>
      <c r="H17" s="207">
        <v>0.6</v>
      </c>
      <c r="I17" s="207">
        <v>0.7</v>
      </c>
      <c r="J17" s="207">
        <v>0.8</v>
      </c>
      <c r="K17" s="207">
        <v>0.9</v>
      </c>
      <c r="L17" s="207">
        <v>1</v>
      </c>
      <c r="M17" s="168" t="s">
        <v>140</v>
      </c>
    </row>
    <row r="18" spans="1:15" x14ac:dyDescent="0.25">
      <c r="A18" s="172" t="s">
        <v>68</v>
      </c>
      <c r="B18" s="208">
        <v>0.27</v>
      </c>
      <c r="C18" s="208">
        <v>0.32</v>
      </c>
      <c r="D18" s="208">
        <v>0.63</v>
      </c>
      <c r="E18" s="208">
        <v>0.74</v>
      </c>
      <c r="F18" s="208">
        <v>0.81</v>
      </c>
      <c r="G18" s="208">
        <v>0.87</v>
      </c>
      <c r="H18" s="208">
        <v>0.92</v>
      </c>
      <c r="I18" s="208">
        <v>0.95</v>
      </c>
      <c r="J18" s="208">
        <v>0.98</v>
      </c>
      <c r="K18" s="208">
        <v>1</v>
      </c>
      <c r="L18" s="208">
        <v>1</v>
      </c>
      <c r="M18" s="169" t="s">
        <v>59</v>
      </c>
    </row>
    <row r="19" spans="1:15" x14ac:dyDescent="0.25">
      <c r="A19" s="172" t="s">
        <v>69</v>
      </c>
      <c r="B19" s="208">
        <v>0.27</v>
      </c>
      <c r="C19" s="208">
        <v>0.33</v>
      </c>
      <c r="D19" s="208">
        <v>0.61</v>
      </c>
      <c r="E19" s="208">
        <v>0.72</v>
      </c>
      <c r="F19" s="208">
        <v>0.79</v>
      </c>
      <c r="G19" s="208">
        <v>0.85</v>
      </c>
      <c r="H19" s="208">
        <v>0.9</v>
      </c>
      <c r="I19" s="208">
        <v>0.94</v>
      </c>
      <c r="J19" s="208">
        <v>0.97</v>
      </c>
      <c r="K19" s="208">
        <v>1</v>
      </c>
      <c r="L19" s="208">
        <v>1</v>
      </c>
      <c r="M19" s="169" t="s">
        <v>59</v>
      </c>
    </row>
    <row r="20" spans="1:15" x14ac:dyDescent="0.25">
      <c r="A20" s="172" t="s">
        <v>70</v>
      </c>
      <c r="B20" s="208">
        <v>0.27</v>
      </c>
      <c r="C20" s="208">
        <v>0.34</v>
      </c>
      <c r="D20" s="208">
        <v>0.54</v>
      </c>
      <c r="E20" s="208">
        <v>0.64</v>
      </c>
      <c r="F20" s="208">
        <v>0.73</v>
      </c>
      <c r="G20" s="208">
        <v>0.79</v>
      </c>
      <c r="H20" s="208">
        <v>0.85</v>
      </c>
      <c r="I20" s="208">
        <v>0.9</v>
      </c>
      <c r="J20" s="208">
        <v>0.94</v>
      </c>
      <c r="K20" s="208">
        <v>0.98</v>
      </c>
      <c r="L20" s="208">
        <v>1</v>
      </c>
      <c r="M20" s="169" t="s">
        <v>59</v>
      </c>
    </row>
    <row r="21" spans="1:15" x14ac:dyDescent="0.25">
      <c r="A21" s="172" t="s">
        <v>71</v>
      </c>
      <c r="B21" s="208">
        <v>0.27</v>
      </c>
      <c r="C21" s="208">
        <v>0.34</v>
      </c>
      <c r="D21" s="208">
        <v>0.45</v>
      </c>
      <c r="E21" s="208">
        <v>0.55000000000000004</v>
      </c>
      <c r="F21" s="208">
        <v>0.64</v>
      </c>
      <c r="G21" s="208">
        <v>0.71</v>
      </c>
      <c r="H21" s="208">
        <v>0.78</v>
      </c>
      <c r="I21" s="208">
        <v>0.85</v>
      </c>
      <c r="J21" s="208">
        <v>0.91</v>
      </c>
      <c r="K21" s="208">
        <v>0.97</v>
      </c>
      <c r="L21" s="208">
        <v>1</v>
      </c>
      <c r="M21" s="169" t="s">
        <v>59</v>
      </c>
    </row>
    <row r="22" spans="1:15" x14ac:dyDescent="0.25">
      <c r="A22" s="173" t="s">
        <v>72</v>
      </c>
      <c r="B22" s="204">
        <v>0.27</v>
      </c>
      <c r="C22" s="204">
        <v>0.34</v>
      </c>
      <c r="D22" s="204">
        <v>0.42</v>
      </c>
      <c r="E22" s="204">
        <v>0.52</v>
      </c>
      <c r="F22" s="204">
        <v>0.6</v>
      </c>
      <c r="G22" s="204">
        <v>0.68</v>
      </c>
      <c r="H22" s="204">
        <v>0.76</v>
      </c>
      <c r="I22" s="204">
        <v>0.83</v>
      </c>
      <c r="J22" s="204">
        <v>0.89</v>
      </c>
      <c r="K22" s="204">
        <v>0.96</v>
      </c>
      <c r="L22" s="204">
        <v>1</v>
      </c>
      <c r="M22" s="170" t="s">
        <v>59</v>
      </c>
    </row>
    <row r="24" spans="1:15" ht="57.75" customHeight="1" x14ac:dyDescent="0.25">
      <c r="A24" s="347" t="s">
        <v>0</v>
      </c>
      <c r="B24" s="348"/>
      <c r="C24" s="181" t="s">
        <v>6</v>
      </c>
      <c r="D24" s="181" t="s">
        <v>7</v>
      </c>
      <c r="E24" s="181" t="s">
        <v>8</v>
      </c>
      <c r="F24" s="181" t="s">
        <v>9</v>
      </c>
      <c r="G24" s="181" t="s">
        <v>10</v>
      </c>
      <c r="H24" s="181" t="s">
        <v>11</v>
      </c>
      <c r="I24" s="181" t="s">
        <v>12</v>
      </c>
      <c r="J24" s="181" t="s">
        <v>13</v>
      </c>
      <c r="K24" s="181" t="s">
        <v>14</v>
      </c>
      <c r="L24" s="181" t="s">
        <v>15</v>
      </c>
      <c r="M24" s="347" t="s">
        <v>143</v>
      </c>
      <c r="N24" s="349"/>
      <c r="O24" s="348"/>
    </row>
    <row r="25" spans="1:15" x14ac:dyDescent="0.25">
      <c r="A25" s="339" t="s">
        <v>68</v>
      </c>
      <c r="B25" s="341"/>
      <c r="C25" s="205">
        <f t="shared" ref="C25:L25" si="0">AVERAGE(B18:C18)</f>
        <v>0.29500000000000004</v>
      </c>
      <c r="D25" s="205">
        <f t="shared" si="0"/>
        <v>0.47499999999999998</v>
      </c>
      <c r="E25" s="205">
        <f t="shared" si="0"/>
        <v>0.68500000000000005</v>
      </c>
      <c r="F25" s="205">
        <f t="shared" si="0"/>
        <v>0.77500000000000002</v>
      </c>
      <c r="G25" s="205">
        <f t="shared" si="0"/>
        <v>0.84000000000000008</v>
      </c>
      <c r="H25" s="205">
        <f t="shared" si="0"/>
        <v>0.89500000000000002</v>
      </c>
      <c r="I25" s="205">
        <f t="shared" si="0"/>
        <v>0.93500000000000005</v>
      </c>
      <c r="J25" s="205">
        <f t="shared" si="0"/>
        <v>0.96499999999999997</v>
      </c>
      <c r="K25" s="205">
        <f t="shared" si="0"/>
        <v>0.99</v>
      </c>
      <c r="L25" s="205">
        <f t="shared" si="0"/>
        <v>1</v>
      </c>
      <c r="M25" s="350" t="s">
        <v>60</v>
      </c>
      <c r="N25" s="351"/>
      <c r="O25" s="351"/>
    </row>
    <row r="26" spans="1:15" x14ac:dyDescent="0.25">
      <c r="A26" s="339" t="s">
        <v>69</v>
      </c>
      <c r="B26" s="341"/>
      <c r="C26" s="205">
        <f t="shared" ref="C26:L26" si="1">AVERAGE(B19:C19)</f>
        <v>0.30000000000000004</v>
      </c>
      <c r="D26" s="205">
        <f t="shared" si="1"/>
        <v>0.47</v>
      </c>
      <c r="E26" s="205">
        <f t="shared" si="1"/>
        <v>0.66500000000000004</v>
      </c>
      <c r="F26" s="205">
        <f t="shared" si="1"/>
        <v>0.755</v>
      </c>
      <c r="G26" s="205">
        <f t="shared" si="1"/>
        <v>0.82000000000000006</v>
      </c>
      <c r="H26" s="205">
        <f t="shared" si="1"/>
        <v>0.875</v>
      </c>
      <c r="I26" s="205">
        <f t="shared" si="1"/>
        <v>0.91999999999999993</v>
      </c>
      <c r="J26" s="205">
        <f t="shared" si="1"/>
        <v>0.95499999999999996</v>
      </c>
      <c r="K26" s="205">
        <f t="shared" si="1"/>
        <v>0.98499999999999999</v>
      </c>
      <c r="L26" s="205">
        <f t="shared" si="1"/>
        <v>1</v>
      </c>
      <c r="M26" s="352" t="s">
        <v>60</v>
      </c>
      <c r="N26" s="341"/>
      <c r="O26" s="341"/>
    </row>
    <row r="27" spans="1:15" x14ac:dyDescent="0.25">
      <c r="A27" s="339" t="s">
        <v>70</v>
      </c>
      <c r="B27" s="341"/>
      <c r="C27" s="205">
        <f t="shared" ref="C27:L27" si="2">AVERAGE(B20:C20)</f>
        <v>0.30500000000000005</v>
      </c>
      <c r="D27" s="205">
        <f t="shared" si="2"/>
        <v>0.44000000000000006</v>
      </c>
      <c r="E27" s="205">
        <f t="shared" si="2"/>
        <v>0.59000000000000008</v>
      </c>
      <c r="F27" s="205">
        <f t="shared" si="2"/>
        <v>0.68500000000000005</v>
      </c>
      <c r="G27" s="205">
        <f t="shared" si="2"/>
        <v>0.76</v>
      </c>
      <c r="H27" s="205">
        <f t="shared" si="2"/>
        <v>0.82000000000000006</v>
      </c>
      <c r="I27" s="205">
        <f t="shared" si="2"/>
        <v>0.875</v>
      </c>
      <c r="J27" s="205">
        <f t="shared" si="2"/>
        <v>0.91999999999999993</v>
      </c>
      <c r="K27" s="205">
        <f t="shared" si="2"/>
        <v>0.96</v>
      </c>
      <c r="L27" s="205">
        <f t="shared" si="2"/>
        <v>0.99</v>
      </c>
      <c r="M27" s="352" t="s">
        <v>60</v>
      </c>
      <c r="N27" s="341"/>
      <c r="O27" s="341"/>
    </row>
    <row r="28" spans="1:15" x14ac:dyDescent="0.25">
      <c r="A28" s="339" t="s">
        <v>71</v>
      </c>
      <c r="B28" s="341"/>
      <c r="C28" s="205">
        <f t="shared" ref="C28:L28" si="3">AVERAGE(B21:C21)</f>
        <v>0.30500000000000005</v>
      </c>
      <c r="D28" s="205">
        <f t="shared" si="3"/>
        <v>0.39500000000000002</v>
      </c>
      <c r="E28" s="205">
        <f t="shared" si="3"/>
        <v>0.5</v>
      </c>
      <c r="F28" s="205">
        <f t="shared" si="3"/>
        <v>0.59499999999999997</v>
      </c>
      <c r="G28" s="205">
        <f t="shared" si="3"/>
        <v>0.67500000000000004</v>
      </c>
      <c r="H28" s="205">
        <f t="shared" si="3"/>
        <v>0.745</v>
      </c>
      <c r="I28" s="205">
        <f t="shared" si="3"/>
        <v>0.81499999999999995</v>
      </c>
      <c r="J28" s="205">
        <f t="shared" si="3"/>
        <v>0.88</v>
      </c>
      <c r="K28" s="205">
        <f t="shared" si="3"/>
        <v>0.94</v>
      </c>
      <c r="L28" s="205">
        <f t="shared" si="3"/>
        <v>0.98499999999999999</v>
      </c>
      <c r="M28" s="352" t="s">
        <v>60</v>
      </c>
      <c r="N28" s="341"/>
      <c r="O28" s="341"/>
    </row>
    <row r="29" spans="1:15" x14ac:dyDescent="0.25">
      <c r="A29" s="342" t="s">
        <v>72</v>
      </c>
      <c r="B29" s="344"/>
      <c r="C29" s="206">
        <f t="shared" ref="C29:L29" si="4">AVERAGE(B22:C22)</f>
        <v>0.30500000000000005</v>
      </c>
      <c r="D29" s="206">
        <f t="shared" si="4"/>
        <v>0.38</v>
      </c>
      <c r="E29" s="206">
        <f t="shared" si="4"/>
        <v>0.47</v>
      </c>
      <c r="F29" s="206">
        <f t="shared" si="4"/>
        <v>0.56000000000000005</v>
      </c>
      <c r="G29" s="206">
        <f t="shared" si="4"/>
        <v>0.64</v>
      </c>
      <c r="H29" s="206">
        <f t="shared" si="4"/>
        <v>0.72</v>
      </c>
      <c r="I29" s="206">
        <f t="shared" si="4"/>
        <v>0.79499999999999993</v>
      </c>
      <c r="J29" s="206">
        <f t="shared" si="4"/>
        <v>0.86</v>
      </c>
      <c r="K29" s="206">
        <f t="shared" si="4"/>
        <v>0.92500000000000004</v>
      </c>
      <c r="L29" s="206">
        <f t="shared" si="4"/>
        <v>0.98</v>
      </c>
      <c r="M29" s="342" t="s">
        <v>60</v>
      </c>
      <c r="N29" s="343"/>
      <c r="O29" s="344"/>
    </row>
    <row r="31" spans="1:15" x14ac:dyDescent="0.25">
      <c r="A31" s="347" t="s">
        <v>57</v>
      </c>
      <c r="B31" s="348"/>
      <c r="C31" s="181" t="s">
        <v>6</v>
      </c>
      <c r="D31" s="181" t="s">
        <v>7</v>
      </c>
      <c r="E31" s="181" t="s">
        <v>8</v>
      </c>
      <c r="F31" s="181" t="s">
        <v>9</v>
      </c>
      <c r="G31" s="181" t="s">
        <v>10</v>
      </c>
      <c r="H31" s="181" t="s">
        <v>11</v>
      </c>
      <c r="I31" s="181" t="s">
        <v>12</v>
      </c>
      <c r="J31" s="181" t="s">
        <v>13</v>
      </c>
      <c r="K31" s="181" t="s">
        <v>14</v>
      </c>
      <c r="L31" s="181" t="s">
        <v>15</v>
      </c>
      <c r="M31" s="347"/>
      <c r="N31" s="348"/>
    </row>
    <row r="32" spans="1:15" x14ac:dyDescent="0.25">
      <c r="A32" s="353" t="s">
        <v>58</v>
      </c>
      <c r="B32" s="351"/>
      <c r="C32" s="187">
        <v>0.27721184229864787</v>
      </c>
      <c r="D32" s="187">
        <v>1.4358006319811881E-2</v>
      </c>
      <c r="E32" s="187">
        <v>2.6018794091710769E-2</v>
      </c>
      <c r="F32" s="187">
        <v>3.4577270723104056E-2</v>
      </c>
      <c r="G32" s="187">
        <v>2.5902318489124061E-2</v>
      </c>
      <c r="H32" s="187">
        <v>6.2209637713109958E-2</v>
      </c>
      <c r="I32" s="187">
        <v>4.7776308054085823E-2</v>
      </c>
      <c r="J32" s="187">
        <v>4.588321208112877E-2</v>
      </c>
      <c r="K32" s="187">
        <v>0.11577004335684893</v>
      </c>
      <c r="L32" s="187">
        <v>0.35029256687242799</v>
      </c>
      <c r="M32" s="352" t="s">
        <v>56</v>
      </c>
      <c r="N32" s="341"/>
    </row>
    <row r="33" spans="1:21" x14ac:dyDescent="0.25">
      <c r="A33" s="342" t="s">
        <v>59</v>
      </c>
      <c r="B33" s="344"/>
      <c r="C33" s="204">
        <v>0</v>
      </c>
      <c r="D33" s="204">
        <v>0.15</v>
      </c>
      <c r="E33" s="204">
        <v>0.25</v>
      </c>
      <c r="F33" s="204">
        <v>0.35</v>
      </c>
      <c r="G33" s="204">
        <v>0.45</v>
      </c>
      <c r="H33" s="204">
        <v>0.55000000000000004</v>
      </c>
      <c r="I33" s="204">
        <v>0.65</v>
      </c>
      <c r="J33" s="204">
        <v>0.75</v>
      </c>
      <c r="K33" s="204">
        <v>0.85</v>
      </c>
      <c r="L33" s="204">
        <v>0.95</v>
      </c>
      <c r="M33" s="342"/>
      <c r="N33" s="344"/>
    </row>
    <row r="34" spans="1:21" x14ac:dyDescent="0.25">
      <c r="L34" s="163">
        <f>SUMPRODUCT(C32:L32,C33:L33)</f>
        <v>0.56328127296443276</v>
      </c>
      <c r="M34" s="20" t="s">
        <v>82</v>
      </c>
    </row>
    <row r="35" spans="1:21" x14ac:dyDescent="0.25">
      <c r="L35" s="163"/>
    </row>
    <row r="36" spans="1:21" x14ac:dyDescent="0.25">
      <c r="A36" s="171" t="s">
        <v>57</v>
      </c>
      <c r="B36" s="181" t="s">
        <v>6</v>
      </c>
      <c r="C36" s="181" t="s">
        <v>7</v>
      </c>
      <c r="D36" s="181" t="s">
        <v>8</v>
      </c>
      <c r="E36" s="181" t="s">
        <v>9</v>
      </c>
      <c r="F36" s="181" t="s">
        <v>10</v>
      </c>
      <c r="G36" s="181" t="s">
        <v>11</v>
      </c>
      <c r="H36" s="181" t="s">
        <v>12</v>
      </c>
      <c r="I36" s="181" t="s">
        <v>13</v>
      </c>
      <c r="J36" s="181" t="s">
        <v>14</v>
      </c>
      <c r="K36" s="181" t="s">
        <v>15</v>
      </c>
      <c r="L36" s="186" t="s">
        <v>268</v>
      </c>
      <c r="M36" s="171"/>
    </row>
    <row r="37" spans="1:21" x14ac:dyDescent="0.25">
      <c r="A37" s="172" t="s">
        <v>68</v>
      </c>
      <c r="B37" s="187">
        <f t="shared" ref="B37:K37" si="5">+C25*C$32</f>
        <v>8.1777493478101135E-2</v>
      </c>
      <c r="C37" s="187">
        <f t="shared" si="5"/>
        <v>6.8200530019106431E-3</v>
      </c>
      <c r="D37" s="187">
        <f t="shared" si="5"/>
        <v>1.7822873952821876E-2</v>
      </c>
      <c r="E37" s="187">
        <f t="shared" si="5"/>
        <v>2.6797384810405646E-2</v>
      </c>
      <c r="F37" s="187">
        <f t="shared" si="5"/>
        <v>2.1757947530864213E-2</v>
      </c>
      <c r="G37" s="187">
        <f t="shared" si="5"/>
        <v>5.5677625753233415E-2</v>
      </c>
      <c r="H37" s="187">
        <f t="shared" si="5"/>
        <v>4.4670848030570247E-2</v>
      </c>
      <c r="I37" s="187">
        <f t="shared" si="5"/>
        <v>4.4277299658289263E-2</v>
      </c>
      <c r="J37" s="187">
        <f t="shared" si="5"/>
        <v>0.11461234292328044</v>
      </c>
      <c r="K37" s="187">
        <f t="shared" si="5"/>
        <v>0.35029256687242799</v>
      </c>
      <c r="L37" s="188">
        <f>SUM(B37:K37)</f>
        <v>0.76450643601190493</v>
      </c>
      <c r="M37" s="172" t="s">
        <v>18</v>
      </c>
    </row>
    <row r="38" spans="1:21" x14ac:dyDescent="0.25">
      <c r="A38" s="172" t="s">
        <v>69</v>
      </c>
      <c r="B38" s="187">
        <f t="shared" ref="B38:K38" si="6">+C26*C$32</f>
        <v>8.3163552689594369E-2</v>
      </c>
      <c r="C38" s="187">
        <f t="shared" si="6"/>
        <v>6.7482629703115842E-3</v>
      </c>
      <c r="D38" s="187">
        <f t="shared" si="6"/>
        <v>1.7302498070987663E-2</v>
      </c>
      <c r="E38" s="187">
        <f t="shared" si="6"/>
        <v>2.6105839395943561E-2</v>
      </c>
      <c r="F38" s="187">
        <f t="shared" si="6"/>
        <v>2.1239901161081733E-2</v>
      </c>
      <c r="G38" s="187">
        <f t="shared" si="6"/>
        <v>5.4433432998971215E-2</v>
      </c>
      <c r="H38" s="187">
        <f t="shared" si="6"/>
        <v>4.3954203409758953E-2</v>
      </c>
      <c r="I38" s="187">
        <f t="shared" si="6"/>
        <v>4.3818467537477972E-2</v>
      </c>
      <c r="J38" s="187">
        <f t="shared" si="6"/>
        <v>0.1140334927064962</v>
      </c>
      <c r="K38" s="187">
        <f t="shared" si="6"/>
        <v>0.35029256687242799</v>
      </c>
      <c r="L38" s="188">
        <f>SUM(B38:K38)</f>
        <v>0.76109221781305125</v>
      </c>
      <c r="M38" s="172" t="s">
        <v>64</v>
      </c>
    </row>
    <row r="39" spans="1:21" x14ac:dyDescent="0.25">
      <c r="A39" s="172" t="s">
        <v>70</v>
      </c>
      <c r="B39" s="187">
        <f t="shared" ref="B39:K39" si="7">+C27*C$32</f>
        <v>8.4549611901087618E-2</v>
      </c>
      <c r="C39" s="187">
        <f t="shared" si="7"/>
        <v>6.3175227807172286E-3</v>
      </c>
      <c r="D39" s="187">
        <f t="shared" si="7"/>
        <v>1.5351088514109356E-2</v>
      </c>
      <c r="E39" s="187">
        <f t="shared" si="7"/>
        <v>2.368543044532628E-2</v>
      </c>
      <c r="F39" s="187">
        <f t="shared" si="7"/>
        <v>1.9685762051734286E-2</v>
      </c>
      <c r="G39" s="187">
        <f t="shared" si="7"/>
        <v>5.101190292475017E-2</v>
      </c>
      <c r="H39" s="187">
        <f t="shared" si="7"/>
        <v>4.1804269547325093E-2</v>
      </c>
      <c r="I39" s="187">
        <f t="shared" si="7"/>
        <v>4.2212555114638464E-2</v>
      </c>
      <c r="J39" s="187">
        <f t="shared" si="7"/>
        <v>0.11113924162257496</v>
      </c>
      <c r="K39" s="187">
        <f t="shared" si="7"/>
        <v>0.3467896412037037</v>
      </c>
      <c r="L39" s="188">
        <f>SUM(B39:K39)</f>
        <v>0.74254702610596712</v>
      </c>
      <c r="M39" s="172" t="s">
        <v>65</v>
      </c>
    </row>
    <row r="40" spans="1:21" x14ac:dyDescent="0.25">
      <c r="A40" s="172" t="s">
        <v>71</v>
      </c>
      <c r="B40" s="187">
        <f t="shared" ref="B40:K40" si="8">+C28*C$32</f>
        <v>8.4549611901087618E-2</v>
      </c>
      <c r="C40" s="187">
        <f t="shared" si="8"/>
        <v>5.671412496325693E-3</v>
      </c>
      <c r="D40" s="187">
        <f t="shared" si="8"/>
        <v>1.3009397045855384E-2</v>
      </c>
      <c r="E40" s="187">
        <f t="shared" si="8"/>
        <v>2.0573476080246914E-2</v>
      </c>
      <c r="F40" s="187">
        <f t="shared" si="8"/>
        <v>1.7484064980158743E-2</v>
      </c>
      <c r="G40" s="187">
        <f t="shared" si="8"/>
        <v>4.6346180096266919E-2</v>
      </c>
      <c r="H40" s="187">
        <f t="shared" si="8"/>
        <v>3.8937691064079946E-2</v>
      </c>
      <c r="I40" s="187">
        <f t="shared" si="8"/>
        <v>4.0377226631393315E-2</v>
      </c>
      <c r="J40" s="187">
        <f t="shared" si="8"/>
        <v>0.10882384075543798</v>
      </c>
      <c r="K40" s="187">
        <f t="shared" si="8"/>
        <v>0.34503817836934159</v>
      </c>
      <c r="L40" s="188">
        <f>SUM(B40:K40)</f>
        <v>0.72081107942019407</v>
      </c>
      <c r="M40" s="172" t="s">
        <v>66</v>
      </c>
    </row>
    <row r="41" spans="1:21" x14ac:dyDescent="0.25">
      <c r="A41" s="173" t="s">
        <v>72</v>
      </c>
      <c r="B41" s="189">
        <f t="shared" ref="B41:K41" si="9">+C29*C$32</f>
        <v>8.4549611901087618E-2</v>
      </c>
      <c r="C41" s="189">
        <f t="shared" si="9"/>
        <v>5.4560424015285148E-3</v>
      </c>
      <c r="D41" s="189">
        <f t="shared" si="9"/>
        <v>1.2228833223104061E-2</v>
      </c>
      <c r="E41" s="189">
        <f t="shared" si="9"/>
        <v>1.9363271604938274E-2</v>
      </c>
      <c r="F41" s="189">
        <f t="shared" si="9"/>
        <v>1.6577483833039398E-2</v>
      </c>
      <c r="G41" s="189">
        <f t="shared" si="9"/>
        <v>4.4790939153439166E-2</v>
      </c>
      <c r="H41" s="189">
        <f t="shared" si="9"/>
        <v>3.7982164902998224E-2</v>
      </c>
      <c r="I41" s="189">
        <f t="shared" si="9"/>
        <v>3.945956238977074E-2</v>
      </c>
      <c r="J41" s="189">
        <f t="shared" si="9"/>
        <v>0.10708729010508526</v>
      </c>
      <c r="K41" s="189">
        <f t="shared" si="9"/>
        <v>0.34328671553497941</v>
      </c>
      <c r="L41" s="190">
        <f>SUM(B41:K41)</f>
        <v>0.71078191504997057</v>
      </c>
      <c r="M41" s="173" t="s">
        <v>67</v>
      </c>
    </row>
    <row r="43" spans="1:21" x14ac:dyDescent="0.25">
      <c r="A43" s="167" t="s">
        <v>24</v>
      </c>
      <c r="B43" s="171"/>
      <c r="C43" s="191">
        <v>0</v>
      </c>
      <c r="D43" s="191">
        <v>0.1</v>
      </c>
      <c r="E43" s="191">
        <v>0.2</v>
      </c>
      <c r="F43" s="191">
        <v>0.3</v>
      </c>
      <c r="G43" s="191">
        <v>0.4</v>
      </c>
      <c r="H43" s="191">
        <v>0.5</v>
      </c>
      <c r="I43" s="191">
        <v>0.6</v>
      </c>
      <c r="J43" s="191">
        <v>0.7</v>
      </c>
      <c r="K43" s="191">
        <v>0.8</v>
      </c>
      <c r="L43" s="191">
        <v>0.9</v>
      </c>
      <c r="M43" s="191">
        <v>1</v>
      </c>
      <c r="N43" s="353"/>
      <c r="O43" s="354"/>
      <c r="P43" s="354"/>
      <c r="Q43" s="354"/>
      <c r="R43" s="354"/>
      <c r="S43" s="354"/>
      <c r="T43" s="354"/>
      <c r="U43" s="351"/>
    </row>
    <row r="44" spans="1:21" x14ac:dyDescent="0.25">
      <c r="A44" s="177">
        <f>+(M44-D44)/9</f>
        <v>5.5555555555555552E-2</v>
      </c>
      <c r="B44" s="179" t="s">
        <v>21</v>
      </c>
      <c r="C44" s="196">
        <f>+D44-A44</f>
        <v>6.4444444444444446</v>
      </c>
      <c r="D44" s="196">
        <v>6.5</v>
      </c>
      <c r="E44" s="196">
        <f t="shared" ref="E44:L44" si="10">+D44+$A$44</f>
        <v>6.5555555555555554</v>
      </c>
      <c r="F44" s="196">
        <f t="shared" si="10"/>
        <v>6.6111111111111107</v>
      </c>
      <c r="G44" s="196">
        <f t="shared" si="10"/>
        <v>6.6666666666666661</v>
      </c>
      <c r="H44" s="196">
        <f t="shared" si="10"/>
        <v>6.7222222222222214</v>
      </c>
      <c r="I44" s="196">
        <f t="shared" si="10"/>
        <v>6.7777777777777768</v>
      </c>
      <c r="J44" s="196">
        <f t="shared" si="10"/>
        <v>6.8333333333333321</v>
      </c>
      <c r="K44" s="196">
        <f t="shared" si="10"/>
        <v>6.8888888888888875</v>
      </c>
      <c r="L44" s="196">
        <f t="shared" si="10"/>
        <v>6.9444444444444429</v>
      </c>
      <c r="M44" s="197">
        <v>7</v>
      </c>
      <c r="N44" s="350" t="s">
        <v>128</v>
      </c>
      <c r="O44" s="351"/>
      <c r="P44" s="351"/>
      <c r="Q44" s="351"/>
      <c r="R44" s="351"/>
      <c r="S44" s="351"/>
      <c r="T44" s="351"/>
      <c r="U44" s="351"/>
    </row>
    <row r="45" spans="1:21" x14ac:dyDescent="0.25">
      <c r="A45" s="178">
        <f>+(M45-D45)/9</f>
        <v>0.6333333333333333</v>
      </c>
      <c r="B45" s="173" t="s">
        <v>20</v>
      </c>
      <c r="C45" s="198">
        <f>+D45-A45</f>
        <v>1.1666666666666667</v>
      </c>
      <c r="D45" s="198">
        <v>1.8</v>
      </c>
      <c r="E45" s="198">
        <f>+D45+$A$45</f>
        <v>2.4333333333333336</v>
      </c>
      <c r="F45" s="198">
        <f t="shared" ref="F45:L45" si="11">+E45+$A$45</f>
        <v>3.0666666666666669</v>
      </c>
      <c r="G45" s="198">
        <f t="shared" si="11"/>
        <v>3.7</v>
      </c>
      <c r="H45" s="198">
        <f t="shared" si="11"/>
        <v>4.3333333333333339</v>
      </c>
      <c r="I45" s="198">
        <f t="shared" si="11"/>
        <v>4.9666666666666668</v>
      </c>
      <c r="J45" s="198">
        <f t="shared" si="11"/>
        <v>5.6</v>
      </c>
      <c r="K45" s="198">
        <f t="shared" si="11"/>
        <v>6.2333333333333325</v>
      </c>
      <c r="L45" s="198">
        <f t="shared" si="11"/>
        <v>6.8666666666666654</v>
      </c>
      <c r="M45" s="199">
        <v>7.5</v>
      </c>
      <c r="N45" s="342" t="s">
        <v>129</v>
      </c>
      <c r="O45" s="343"/>
      <c r="P45" s="343"/>
      <c r="Q45" s="343"/>
      <c r="R45" s="343"/>
      <c r="S45" s="343"/>
      <c r="T45" s="343"/>
      <c r="U45" s="344"/>
    </row>
    <row r="47" spans="1:21" x14ac:dyDescent="0.25">
      <c r="A47" s="171"/>
      <c r="B47" s="181" t="s">
        <v>6</v>
      </c>
      <c r="C47" s="181" t="s">
        <v>7</v>
      </c>
      <c r="D47" s="181" t="s">
        <v>8</v>
      </c>
      <c r="E47" s="181" t="s">
        <v>9</v>
      </c>
      <c r="F47" s="181" t="s">
        <v>10</v>
      </c>
      <c r="G47" s="181" t="s">
        <v>11</v>
      </c>
      <c r="H47" s="181" t="s">
        <v>12</v>
      </c>
      <c r="I47" s="181" t="s">
        <v>13</v>
      </c>
      <c r="J47" s="181" t="s">
        <v>14</v>
      </c>
      <c r="K47" s="181" t="s">
        <v>15</v>
      </c>
      <c r="L47" s="182" t="s">
        <v>268</v>
      </c>
      <c r="M47" s="347"/>
      <c r="N47" s="349"/>
      <c r="O47" s="348"/>
    </row>
    <row r="48" spans="1:21" x14ac:dyDescent="0.25">
      <c r="A48" s="172" t="s">
        <v>21</v>
      </c>
      <c r="B48" s="192">
        <f>AVERAGE(C44:D44)</f>
        <v>6.4722222222222223</v>
      </c>
      <c r="C48" s="192">
        <f t="shared" ref="C48:K49" si="12">AVERAGE(D44:E44)</f>
        <v>6.5277777777777777</v>
      </c>
      <c r="D48" s="192">
        <f t="shared" si="12"/>
        <v>6.583333333333333</v>
      </c>
      <c r="E48" s="192">
        <f t="shared" si="12"/>
        <v>6.6388888888888884</v>
      </c>
      <c r="F48" s="192">
        <f t="shared" si="12"/>
        <v>6.6944444444444438</v>
      </c>
      <c r="G48" s="192">
        <f t="shared" si="12"/>
        <v>6.7499999999999991</v>
      </c>
      <c r="H48" s="192">
        <f t="shared" si="12"/>
        <v>6.8055555555555545</v>
      </c>
      <c r="I48" s="192">
        <f t="shared" si="12"/>
        <v>6.8611111111111098</v>
      </c>
      <c r="J48" s="192">
        <f t="shared" si="12"/>
        <v>6.9166666666666652</v>
      </c>
      <c r="K48" s="192">
        <f t="shared" si="12"/>
        <v>6.9722222222222214</v>
      </c>
      <c r="L48" s="200"/>
      <c r="M48" s="339" t="s">
        <v>76</v>
      </c>
      <c r="N48" s="340"/>
      <c r="O48" s="341"/>
    </row>
    <row r="49" spans="1:15" x14ac:dyDescent="0.25">
      <c r="A49" s="172" t="s">
        <v>20</v>
      </c>
      <c r="B49" s="192">
        <f>AVERAGE(C45:D45)</f>
        <v>1.4833333333333334</v>
      </c>
      <c r="C49" s="192">
        <f t="shared" si="12"/>
        <v>2.1166666666666667</v>
      </c>
      <c r="D49" s="192">
        <f t="shared" si="12"/>
        <v>2.75</v>
      </c>
      <c r="E49" s="192">
        <f t="shared" si="12"/>
        <v>3.3833333333333337</v>
      </c>
      <c r="F49" s="192">
        <f t="shared" si="12"/>
        <v>4.0166666666666675</v>
      </c>
      <c r="G49" s="192">
        <f t="shared" si="12"/>
        <v>4.6500000000000004</v>
      </c>
      <c r="H49" s="192">
        <f t="shared" si="12"/>
        <v>5.2833333333333332</v>
      </c>
      <c r="I49" s="192">
        <f t="shared" si="12"/>
        <v>5.9166666666666661</v>
      </c>
      <c r="J49" s="192">
        <f t="shared" si="12"/>
        <v>6.5499999999999989</v>
      </c>
      <c r="K49" s="192">
        <f t="shared" si="12"/>
        <v>7.1833333333333327</v>
      </c>
      <c r="L49" s="201"/>
      <c r="M49" s="339" t="s">
        <v>77</v>
      </c>
      <c r="N49" s="340"/>
      <c r="O49" s="341"/>
    </row>
    <row r="50" spans="1:15" x14ac:dyDescent="0.25">
      <c r="A50" s="172" t="s">
        <v>23</v>
      </c>
      <c r="B50" s="192">
        <f>+B48*C$32</f>
        <v>1.7941766459884709</v>
      </c>
      <c r="C50" s="192">
        <f t="shared" ref="C50:K50" si="13">+C48*D$32</f>
        <v>9.3725874587660893E-2</v>
      </c>
      <c r="D50" s="192">
        <f t="shared" si="13"/>
        <v>0.1712903944370959</v>
      </c>
      <c r="E50" s="192">
        <f t="shared" si="13"/>
        <v>0.22955465841171857</v>
      </c>
      <c r="F50" s="192">
        <f t="shared" si="13"/>
        <v>0.17340163210774717</v>
      </c>
      <c r="G50" s="192">
        <f t="shared" si="13"/>
        <v>0.41991505456349215</v>
      </c>
      <c r="H50" s="192">
        <f t="shared" si="13"/>
        <v>0.32514431870141736</v>
      </c>
      <c r="I50" s="192">
        <f t="shared" si="13"/>
        <v>0.31480981622330012</v>
      </c>
      <c r="J50" s="192">
        <f t="shared" si="13"/>
        <v>0.80074279988487163</v>
      </c>
      <c r="K50" s="192">
        <f t="shared" si="13"/>
        <v>2.442317619027206</v>
      </c>
      <c r="L50" s="202">
        <f>SUM(B50:K50)</f>
        <v>6.7650788139329805</v>
      </c>
      <c r="M50" s="339" t="s">
        <v>126</v>
      </c>
      <c r="N50" s="340"/>
      <c r="O50" s="341"/>
    </row>
    <row r="51" spans="1:15" x14ac:dyDescent="0.25">
      <c r="A51" s="173" t="s">
        <v>22</v>
      </c>
      <c r="B51" s="194">
        <f t="shared" ref="B51:K51" si="14">+B49*C$32</f>
        <v>0.41119756607632768</v>
      </c>
      <c r="C51" s="194">
        <f t="shared" si="14"/>
        <v>3.0391113376935151E-2</v>
      </c>
      <c r="D51" s="194">
        <f t="shared" si="14"/>
        <v>7.1551683752204609E-2</v>
      </c>
      <c r="E51" s="194">
        <f t="shared" si="14"/>
        <v>0.11698643261316874</v>
      </c>
      <c r="F51" s="194">
        <f t="shared" si="14"/>
        <v>0.10404097926464834</v>
      </c>
      <c r="G51" s="194">
        <f t="shared" si="14"/>
        <v>0.28927481536596134</v>
      </c>
      <c r="H51" s="194">
        <f t="shared" si="14"/>
        <v>0.25241816088575342</v>
      </c>
      <c r="I51" s="194">
        <f t="shared" si="14"/>
        <v>0.27147567148001184</v>
      </c>
      <c r="J51" s="194">
        <f t="shared" si="14"/>
        <v>0.75829378398736036</v>
      </c>
      <c r="K51" s="194">
        <f t="shared" si="14"/>
        <v>2.5162682720336074</v>
      </c>
      <c r="L51" s="203">
        <f>SUM(B51:K51)</f>
        <v>4.8218984788359789</v>
      </c>
      <c r="M51" s="342" t="s">
        <v>127</v>
      </c>
      <c r="N51" s="343"/>
      <c r="O51" s="344"/>
    </row>
    <row r="52" spans="1:15" x14ac:dyDescent="0.25">
      <c r="B52" s="183"/>
      <c r="C52" s="183"/>
      <c r="D52" s="183"/>
      <c r="E52" s="183"/>
      <c r="F52" s="183"/>
      <c r="G52" s="183"/>
      <c r="H52" s="183"/>
      <c r="I52" s="183"/>
      <c r="J52" s="183"/>
      <c r="K52" s="183"/>
      <c r="L52" s="184">
        <v>7.0000000000000007E-2</v>
      </c>
      <c r="M52" s="345" t="s">
        <v>130</v>
      </c>
      <c r="N52" s="345"/>
      <c r="O52" s="345"/>
    </row>
    <row r="53" spans="1:15" ht="105.75" customHeight="1" x14ac:dyDescent="0.25">
      <c r="B53" s="183"/>
      <c r="C53" s="183"/>
      <c r="D53" s="183"/>
      <c r="E53" s="183"/>
      <c r="F53" s="183"/>
      <c r="G53" s="183"/>
      <c r="H53" s="183"/>
      <c r="I53" s="183"/>
      <c r="J53" s="183"/>
      <c r="K53" s="183"/>
      <c r="L53" s="185">
        <f>+BackEnd!C127</f>
        <v>0.21763741496598613</v>
      </c>
      <c r="M53" s="346" t="s">
        <v>144</v>
      </c>
      <c r="N53" s="346"/>
      <c r="O53" s="346"/>
    </row>
    <row r="54" spans="1:15" x14ac:dyDescent="0.25">
      <c r="L54" s="21"/>
    </row>
    <row r="55" spans="1:15" x14ac:dyDescent="0.25">
      <c r="A55" s="20" t="s">
        <v>105</v>
      </c>
    </row>
    <row r="56" spans="1:15" x14ac:dyDescent="0.25">
      <c r="B56" s="335" t="s">
        <v>103</v>
      </c>
      <c r="C56" s="336"/>
      <c r="D56" s="336"/>
      <c r="E56" s="336"/>
      <c r="F56" s="336"/>
      <c r="G56" s="337"/>
    </row>
    <row r="57" spans="1:15" x14ac:dyDescent="0.25">
      <c r="A57" s="211" t="s">
        <v>25</v>
      </c>
      <c r="B57" s="254" t="s">
        <v>26</v>
      </c>
      <c r="C57" s="254" t="s">
        <v>27</v>
      </c>
      <c r="D57" s="255" t="s">
        <v>28</v>
      </c>
      <c r="E57" s="255" t="s">
        <v>29</v>
      </c>
      <c r="F57" s="255" t="s">
        <v>30</v>
      </c>
      <c r="G57" s="256" t="s">
        <v>31</v>
      </c>
    </row>
    <row r="58" spans="1:15" x14ac:dyDescent="0.25">
      <c r="A58" s="212">
        <v>30</v>
      </c>
      <c r="B58" s="18">
        <v>0.13</v>
      </c>
      <c r="C58" s="18">
        <v>0.51</v>
      </c>
      <c r="D58" s="18">
        <v>2.09</v>
      </c>
      <c r="E58" s="18">
        <v>8.33</v>
      </c>
      <c r="F58" s="18">
        <v>33.36</v>
      </c>
      <c r="G58" s="209">
        <v>75.010000000000005</v>
      </c>
    </row>
    <row r="59" spans="1:15" x14ac:dyDescent="0.25">
      <c r="A59" s="212">
        <v>40</v>
      </c>
      <c r="B59" s="18">
        <v>0.17</v>
      </c>
      <c r="C59" s="18">
        <v>0.67</v>
      </c>
      <c r="D59" s="18">
        <v>2.75</v>
      </c>
      <c r="E59" s="18">
        <v>10.97</v>
      </c>
      <c r="F59" s="18">
        <v>43.91</v>
      </c>
      <c r="G59" s="209">
        <v>98.74</v>
      </c>
    </row>
    <row r="60" spans="1:15" x14ac:dyDescent="0.25">
      <c r="A60" s="212">
        <v>50</v>
      </c>
      <c r="B60" s="18">
        <v>0.21</v>
      </c>
      <c r="C60" s="18">
        <v>0.84</v>
      </c>
      <c r="D60" s="18">
        <v>3.39</v>
      </c>
      <c r="E60" s="18">
        <v>13.53</v>
      </c>
      <c r="F60" s="18">
        <v>54.18</v>
      </c>
      <c r="G60" s="209">
        <v>121.84</v>
      </c>
    </row>
    <row r="61" spans="1:15" x14ac:dyDescent="0.25">
      <c r="A61" s="212">
        <v>60</v>
      </c>
      <c r="B61" s="18">
        <v>0.25</v>
      </c>
      <c r="C61" s="18">
        <v>1</v>
      </c>
      <c r="D61" s="18">
        <v>4.01</v>
      </c>
      <c r="E61" s="18">
        <v>16.03</v>
      </c>
      <c r="F61" s="18">
        <v>64.150000000000006</v>
      </c>
      <c r="G61" s="209">
        <v>144.30000000000001</v>
      </c>
    </row>
    <row r="62" spans="1:15" x14ac:dyDescent="0.25">
      <c r="A62" s="213">
        <v>70</v>
      </c>
      <c r="B62" s="18">
        <v>0.28999999999999998</v>
      </c>
      <c r="C62" s="18">
        <v>1.1599999999999999</v>
      </c>
      <c r="D62" s="18">
        <v>4.66</v>
      </c>
      <c r="E62" s="18">
        <v>18.62</v>
      </c>
      <c r="F62" s="18">
        <v>74.400000000000006</v>
      </c>
      <c r="G62" s="209">
        <v>167.8</v>
      </c>
    </row>
    <row r="63" spans="1:15" x14ac:dyDescent="0.25">
      <c r="A63" s="213">
        <v>80</v>
      </c>
      <c r="B63" s="18">
        <v>0.32</v>
      </c>
      <c r="C63" s="18">
        <v>1.26</v>
      </c>
      <c r="D63" s="18">
        <v>5.24</v>
      </c>
      <c r="E63" s="18">
        <v>20.76</v>
      </c>
      <c r="F63" s="18">
        <v>83.1</v>
      </c>
      <c r="G63" s="209">
        <v>187.2</v>
      </c>
    </row>
    <row r="64" spans="1:15" x14ac:dyDescent="0.25">
      <c r="A64" s="213">
        <v>90</v>
      </c>
      <c r="B64" s="18">
        <v>0.36</v>
      </c>
      <c r="C64" s="18">
        <v>1.46</v>
      </c>
      <c r="D64" s="18">
        <v>5.72</v>
      </c>
      <c r="E64" s="18">
        <v>23.1</v>
      </c>
      <c r="F64" s="18">
        <v>92</v>
      </c>
      <c r="G64" s="209">
        <v>206.6</v>
      </c>
    </row>
    <row r="65" spans="1:8" x14ac:dyDescent="0.25">
      <c r="A65" s="213">
        <v>100</v>
      </c>
      <c r="B65" s="18">
        <v>0.4</v>
      </c>
      <c r="C65" s="18">
        <v>1.55</v>
      </c>
      <c r="D65" s="18">
        <v>6.31</v>
      </c>
      <c r="E65" s="18">
        <v>25.22</v>
      </c>
      <c r="F65" s="18">
        <v>100.9</v>
      </c>
      <c r="G65" s="209">
        <v>227</v>
      </c>
    </row>
    <row r="66" spans="1:8" x14ac:dyDescent="0.25">
      <c r="A66" s="214">
        <v>125</v>
      </c>
      <c r="B66" s="180">
        <v>0.48</v>
      </c>
      <c r="C66" s="180">
        <v>1.94</v>
      </c>
      <c r="D66" s="180">
        <v>7.66</v>
      </c>
      <c r="E66" s="180">
        <v>30.65</v>
      </c>
      <c r="F66" s="180">
        <v>122.2</v>
      </c>
      <c r="G66" s="210">
        <v>275.5</v>
      </c>
    </row>
    <row r="67" spans="1:8" x14ac:dyDescent="0.25">
      <c r="A67" s="20" t="s">
        <v>104</v>
      </c>
    </row>
    <row r="69" spans="1:8" x14ac:dyDescent="0.25">
      <c r="A69" s="20" t="s">
        <v>106</v>
      </c>
    </row>
    <row r="70" spans="1:8" x14ac:dyDescent="0.25">
      <c r="A70" s="182" t="s">
        <v>25</v>
      </c>
      <c r="B70" s="181" t="s">
        <v>29</v>
      </c>
      <c r="C70" s="181" t="s">
        <v>30</v>
      </c>
      <c r="D70" s="215" t="s">
        <v>31</v>
      </c>
    </row>
    <row r="71" spans="1:8" x14ac:dyDescent="0.25">
      <c r="A71" s="216">
        <v>100</v>
      </c>
      <c r="B71" s="198">
        <f>0.97*E65</f>
        <v>24.463399999999996</v>
      </c>
      <c r="C71" s="198">
        <f>0.97*F65</f>
        <v>97.873000000000005</v>
      </c>
      <c r="D71" s="219">
        <f>0.97*G65</f>
        <v>220.19</v>
      </c>
      <c r="E71" s="218" t="s">
        <v>108</v>
      </c>
    </row>
    <row r="72" spans="1:8" x14ac:dyDescent="0.25">
      <c r="D72" s="183">
        <v>6</v>
      </c>
      <c r="E72" s="20" t="s">
        <v>110</v>
      </c>
    </row>
    <row r="73" spans="1:8" x14ac:dyDescent="0.25">
      <c r="D73" s="183">
        <v>4</v>
      </c>
      <c r="E73" s="20" t="s">
        <v>240</v>
      </c>
    </row>
    <row r="76" spans="1:8" x14ac:dyDescent="0.25">
      <c r="A76" s="222" t="s">
        <v>107</v>
      </c>
      <c r="B76" s="181" t="s">
        <v>26</v>
      </c>
      <c r="C76" s="181" t="s">
        <v>27</v>
      </c>
      <c r="D76" s="181" t="s">
        <v>28</v>
      </c>
      <c r="E76" s="181" t="s">
        <v>29</v>
      </c>
      <c r="F76" s="181" t="s">
        <v>30</v>
      </c>
      <c r="G76" s="215" t="s">
        <v>31</v>
      </c>
    </row>
    <row r="77" spans="1:8" x14ac:dyDescent="0.25">
      <c r="A77" s="220">
        <v>80</v>
      </c>
      <c r="B77" s="223">
        <f>0.97*B63</f>
        <v>0.31040000000000001</v>
      </c>
      <c r="C77" s="224">
        <f t="shared" ref="C77:E77" si="15">0.97*C63</f>
        <v>1.2222</v>
      </c>
      <c r="D77" s="224">
        <f>0.97*D63</f>
        <v>5.0827999999999998</v>
      </c>
      <c r="E77" s="224">
        <f t="shared" si="15"/>
        <v>20.1372</v>
      </c>
      <c r="F77" s="224">
        <f>0.97*F63</f>
        <v>80.606999999999999</v>
      </c>
      <c r="G77" s="225">
        <f>0.97*G63</f>
        <v>181.58399999999997</v>
      </c>
      <c r="H77" s="20" t="s">
        <v>237</v>
      </c>
    </row>
    <row r="78" spans="1:8" x14ac:dyDescent="0.25">
      <c r="A78" s="221">
        <f>+A58</f>
        <v>30</v>
      </c>
      <c r="B78" s="226">
        <f t="shared" ref="B78:F78" si="16">0.97*B58</f>
        <v>0.12609999999999999</v>
      </c>
      <c r="C78" s="194">
        <f t="shared" si="16"/>
        <v>0.49469999999999997</v>
      </c>
      <c r="D78" s="194">
        <f t="shared" si="16"/>
        <v>2.0272999999999999</v>
      </c>
      <c r="E78" s="194">
        <f t="shared" si="16"/>
        <v>8.0800999999999998</v>
      </c>
      <c r="F78" s="194">
        <f t="shared" si="16"/>
        <v>32.359200000000001</v>
      </c>
      <c r="G78" s="217">
        <f>0.97*G58</f>
        <v>72.759700000000009</v>
      </c>
      <c r="H78" s="20" t="s">
        <v>109</v>
      </c>
    </row>
    <row r="79" spans="1:8" x14ac:dyDescent="0.25">
      <c r="G79" s="298">
        <v>0.05</v>
      </c>
      <c r="H79" s="20" t="s">
        <v>139</v>
      </c>
    </row>
    <row r="81" spans="1:19" s="183" customFormat="1" ht="45" x14ac:dyDescent="0.25">
      <c r="A81" s="257" t="s">
        <v>271</v>
      </c>
      <c r="B81" s="249" t="s">
        <v>111</v>
      </c>
      <c r="C81" s="249" t="s">
        <v>112</v>
      </c>
      <c r="D81" s="249" t="s">
        <v>113</v>
      </c>
      <c r="E81" s="249" t="s">
        <v>116</v>
      </c>
      <c r="F81" s="249" t="s">
        <v>145</v>
      </c>
      <c r="G81" s="249" t="s">
        <v>114</v>
      </c>
      <c r="H81" s="249" t="s">
        <v>115</v>
      </c>
      <c r="I81" s="249" t="s">
        <v>138</v>
      </c>
      <c r="J81" s="249"/>
      <c r="K81" s="250"/>
      <c r="L81" s="249" t="s">
        <v>187</v>
      </c>
      <c r="M81" s="253" t="s">
        <v>188</v>
      </c>
    </row>
    <row r="82" spans="1:19" x14ac:dyDescent="0.25">
      <c r="A82" s="172" t="s">
        <v>118</v>
      </c>
      <c r="B82" s="197">
        <f>+B71</f>
        <v>24.463399999999996</v>
      </c>
      <c r="C82" s="197">
        <f>+B82/100*A$15</f>
        <v>5.0590311200000002</v>
      </c>
      <c r="D82" s="233">
        <f>+$D$72*$D$73/3600</f>
        <v>6.6666666666666671E-3</v>
      </c>
      <c r="E82" s="245">
        <f>+C82*D82</f>
        <v>3.3726874133333334E-2</v>
      </c>
      <c r="F82" s="241">
        <f>+E82*$F$94</f>
        <v>132.20934660266667</v>
      </c>
      <c r="G82" s="242">
        <v>0</v>
      </c>
      <c r="H82" s="241">
        <f>+F82-G82</f>
        <v>132.20934660266667</v>
      </c>
      <c r="I82" s="234" t="e">
        <f>+F82/$G$94</f>
        <v>#DIV/0!</v>
      </c>
      <c r="J82" s="192">
        <f>+H82/$F$94</f>
        <v>3.3726874133333334E-2</v>
      </c>
      <c r="K82" s="193">
        <f>J82*$D$142</f>
        <v>3.8166817098186208E-2</v>
      </c>
      <c r="L82" s="235">
        <f>+H82*0.1</f>
        <v>13.220934660266668</v>
      </c>
      <c r="M82" s="236">
        <f>+H82/$A$12*$D$142*800</f>
        <v>30.533453678548966</v>
      </c>
    </row>
    <row r="83" spans="1:19" x14ac:dyDescent="0.25">
      <c r="A83" s="172" t="s">
        <v>119</v>
      </c>
      <c r="B83" s="197">
        <f>+C71</f>
        <v>97.873000000000005</v>
      </c>
      <c r="C83" s="197">
        <f>+B83/100*A$15</f>
        <v>20.240136400000004</v>
      </c>
      <c r="D83" s="233">
        <f>+$D$72*$D$73/3600</f>
        <v>6.6666666666666671E-3</v>
      </c>
      <c r="E83" s="245">
        <f>+C83*D83</f>
        <v>0.1349342426666667</v>
      </c>
      <c r="F83" s="241">
        <f>+E83*$F$94</f>
        <v>528.94223125333349</v>
      </c>
      <c r="G83" s="242">
        <v>0</v>
      </c>
      <c r="H83" s="241">
        <f>+F83-G83</f>
        <v>528.94223125333349</v>
      </c>
      <c r="I83" s="187" t="e">
        <f>+F83/$G$94</f>
        <v>#DIV/0!</v>
      </c>
      <c r="J83" s="192">
        <f>+H83/$F$94</f>
        <v>0.1349342426666667</v>
      </c>
      <c r="K83" s="193">
        <f t="shared" ref="K83:K84" si="17">J83*$D$142</f>
        <v>0.15269753549591553</v>
      </c>
      <c r="L83" s="235">
        <f>+H83*0.1</f>
        <v>52.894223125333355</v>
      </c>
      <c r="M83" s="236">
        <f>+H83/$A$12*$D$142*800</f>
        <v>122.15802839673242</v>
      </c>
    </row>
    <row r="84" spans="1:19" x14ac:dyDescent="0.25">
      <c r="A84" s="172" t="s">
        <v>32</v>
      </c>
      <c r="B84" s="197">
        <f>+D71</f>
        <v>220.19</v>
      </c>
      <c r="C84" s="197">
        <f>+B84/100*A$15</f>
        <v>45.535292000000013</v>
      </c>
      <c r="D84" s="233">
        <f>+$D$72*$D$73/3600</f>
        <v>6.6666666666666671E-3</v>
      </c>
      <c r="E84" s="245">
        <f>+C84*D84</f>
        <v>0.30356861333333346</v>
      </c>
      <c r="F84" s="241">
        <f>+E84*$F$94</f>
        <v>1189.9889642666672</v>
      </c>
      <c r="G84" s="242">
        <v>0</v>
      </c>
      <c r="H84" s="241">
        <f>+F84-G84</f>
        <v>1189.9889642666672</v>
      </c>
      <c r="I84" s="187" t="e">
        <f>+F84/$G$94</f>
        <v>#DIV/0!</v>
      </c>
      <c r="J84" s="192">
        <f>+H84/$F$94</f>
        <v>0.30356861333333346</v>
      </c>
      <c r="K84" s="193">
        <f t="shared" si="17"/>
        <v>0.3435316209868467</v>
      </c>
      <c r="L84" s="235">
        <f>+H84*0.1</f>
        <v>118.99889642666672</v>
      </c>
      <c r="M84" s="236">
        <f>+H84/$A$12*$D$142*800</f>
        <v>274.82529678947736</v>
      </c>
    </row>
    <row r="85" spans="1:19" x14ac:dyDescent="0.25">
      <c r="A85" s="173" t="s">
        <v>269</v>
      </c>
      <c r="B85" s="247">
        <f>403.5*0.97</f>
        <v>391.39499999999998</v>
      </c>
      <c r="C85" s="199">
        <f>+B85/100*A$15</f>
        <v>80.940486000000007</v>
      </c>
      <c r="D85" s="238">
        <f>+$D$72*$D$73/3600</f>
        <v>6.6666666666666671E-3</v>
      </c>
      <c r="E85" s="246">
        <f>+C85*D85</f>
        <v>0.53960324000000004</v>
      </c>
      <c r="F85" s="243">
        <f>+E85*$F$94</f>
        <v>2115.2447008000004</v>
      </c>
      <c r="G85" s="244"/>
      <c r="H85" s="243">
        <f>+F85-G85</f>
        <v>2115.2447008000004</v>
      </c>
      <c r="I85" s="189" t="e">
        <f>+F85/$G$94</f>
        <v>#DIV/0!</v>
      </c>
      <c r="J85" s="194">
        <f>+H85/$F$94</f>
        <v>0.53960324000000015</v>
      </c>
      <c r="K85" s="195">
        <f t="shared" ref="K85" si="18">J85*$D$142</f>
        <v>0.61063880646780888</v>
      </c>
      <c r="L85" s="239">
        <f>+H85*0.1</f>
        <v>211.52447008000004</v>
      </c>
      <c r="M85" s="240">
        <f>+H85/$A$12*$D$142*800</f>
        <v>488.5110451742471</v>
      </c>
      <c r="N85" s="43">
        <f>H85*0.5</f>
        <v>1057.6223504000002</v>
      </c>
    </row>
    <row r="86" spans="1:19" x14ac:dyDescent="0.25">
      <c r="C86" s="43"/>
      <c r="D86" s="70"/>
      <c r="E86" s="74"/>
      <c r="F86" s="46"/>
      <c r="H86" s="46"/>
      <c r="I86" s="21"/>
      <c r="N86" s="43"/>
    </row>
    <row r="87" spans="1:19" s="183" customFormat="1" ht="60" x14ac:dyDescent="0.25">
      <c r="A87" s="257" t="s">
        <v>270</v>
      </c>
      <c r="B87" s="249" t="s">
        <v>122</v>
      </c>
      <c r="C87" s="249" t="s">
        <v>123</v>
      </c>
      <c r="D87" s="249" t="s">
        <v>124</v>
      </c>
      <c r="E87" s="249" t="s">
        <v>125</v>
      </c>
      <c r="F87" s="249" t="s">
        <v>115</v>
      </c>
      <c r="G87" s="249" t="s">
        <v>138</v>
      </c>
      <c r="H87" s="250"/>
      <c r="I87" s="250"/>
      <c r="J87" s="249" t="s">
        <v>96</v>
      </c>
      <c r="K87" s="249" t="s">
        <v>183</v>
      </c>
      <c r="L87" s="250" t="s">
        <v>243</v>
      </c>
      <c r="M87" s="249" t="s">
        <v>244</v>
      </c>
      <c r="N87" s="251" t="s">
        <v>245</v>
      </c>
      <c r="S87" s="166"/>
    </row>
    <row r="88" spans="1:19" x14ac:dyDescent="0.25">
      <c r="A88" s="172" t="s">
        <v>133</v>
      </c>
      <c r="B88" s="48">
        <f>+D77</f>
        <v>5.0827999999999998</v>
      </c>
      <c r="C88" s="48">
        <f>+D78</f>
        <v>2.0272999999999999</v>
      </c>
      <c r="D88" s="43">
        <f>+B88-C88</f>
        <v>3.0554999999999999</v>
      </c>
      <c r="E88" s="43">
        <f>+D88*$A$15/100</f>
        <v>0.63187740000000003</v>
      </c>
      <c r="F88" s="286">
        <f>+E88*$G$79*$F$94</f>
        <v>123.84797040000001</v>
      </c>
      <c r="G88" s="287" t="e">
        <f>+F88/$G$94</f>
        <v>#DIV/0!</v>
      </c>
      <c r="H88" s="160">
        <f>+F88/$F$94</f>
        <v>3.1593870000000003E-2</v>
      </c>
      <c r="I88" s="288">
        <f>H88*$D$142</f>
        <v>3.5753015620327094E-2</v>
      </c>
      <c r="J88" s="289">
        <f>+F88*0.1</f>
        <v>12.384797040000002</v>
      </c>
      <c r="K88" s="290">
        <f>+F88/$A$12*$D$142*800</f>
        <v>28.602412496261675</v>
      </c>
      <c r="L88" s="291">
        <v>37.837499999999999</v>
      </c>
      <c r="M88" s="76">
        <f>L88/2</f>
        <v>18.918749999999999</v>
      </c>
      <c r="N88" s="227">
        <f>MIN(K88, M88)</f>
        <v>18.918749999999999</v>
      </c>
    </row>
    <row r="89" spans="1:19" x14ac:dyDescent="0.25">
      <c r="A89" s="172" t="s">
        <v>134</v>
      </c>
      <c r="B89" s="48">
        <f>+E77</f>
        <v>20.1372</v>
      </c>
      <c r="C89" s="48">
        <f>+E78</f>
        <v>8.0800999999999998</v>
      </c>
      <c r="D89" s="43">
        <f>+B89-C89</f>
        <v>12.0571</v>
      </c>
      <c r="E89" s="43">
        <f>+D89*$A$15/100</f>
        <v>2.4934082800000006</v>
      </c>
      <c r="F89" s="286">
        <f>+E89*$G$79*$F$94</f>
        <v>488.70802288000016</v>
      </c>
      <c r="G89" s="287" t="e">
        <f>+F89/$G$94</f>
        <v>#DIV/0!</v>
      </c>
      <c r="H89" s="161">
        <f>+F89/$F$94</f>
        <v>0.12467041400000003</v>
      </c>
      <c r="I89" s="288">
        <f t="shared" ref="I89:I91" si="19">H89*$D$142</f>
        <v>0.14108253465417964</v>
      </c>
      <c r="J89" s="289">
        <f>+F89*0.1</f>
        <v>48.870802288000021</v>
      </c>
      <c r="K89" s="290">
        <f>+F89/$A$12*$D$142*800</f>
        <v>112.86602772334371</v>
      </c>
      <c r="L89" s="291">
        <v>69.749999999999986</v>
      </c>
      <c r="M89" s="76">
        <f t="shared" ref="M89:M91" si="20">L89/2</f>
        <v>34.874999999999993</v>
      </c>
      <c r="N89" s="227">
        <f>MIN(K89, M89)</f>
        <v>34.874999999999993</v>
      </c>
    </row>
    <row r="90" spans="1:19" x14ac:dyDescent="0.25">
      <c r="A90" s="172" t="s">
        <v>135</v>
      </c>
      <c r="B90" s="48">
        <f>+F77</f>
        <v>80.606999999999999</v>
      </c>
      <c r="C90" s="48">
        <f>+F78</f>
        <v>32.359200000000001</v>
      </c>
      <c r="D90" s="43">
        <f>+B90-C90</f>
        <v>48.247799999999998</v>
      </c>
      <c r="E90" s="43">
        <f>+D90*$A$15/100</f>
        <v>9.9776450400000005</v>
      </c>
      <c r="F90" s="286">
        <f>+E90*$G$79*$F$94</f>
        <v>1955.6184278400001</v>
      </c>
      <c r="G90" s="287" t="e">
        <f>+F90/$G$94</f>
        <v>#DIV/0!</v>
      </c>
      <c r="H90" s="161">
        <f>+F90/$F$94</f>
        <v>0.49888225200000003</v>
      </c>
      <c r="I90" s="288">
        <f t="shared" si="19"/>
        <v>0.56455714189049833</v>
      </c>
      <c r="J90" s="289">
        <f>+F90*0.1</f>
        <v>195.56184278400002</v>
      </c>
      <c r="K90" s="290">
        <f>+F90/$A$12*$D$142*800</f>
        <v>451.64571351239869</v>
      </c>
      <c r="L90" s="291">
        <v>121.51898734177215</v>
      </c>
      <c r="M90" s="76">
        <f t="shared" si="20"/>
        <v>60.759493670886073</v>
      </c>
      <c r="N90" s="227">
        <f>MIN(K90, M90)</f>
        <v>60.759493670886073</v>
      </c>
    </row>
    <row r="91" spans="1:19" x14ac:dyDescent="0.25">
      <c r="A91" s="173" t="s">
        <v>136</v>
      </c>
      <c r="B91" s="231">
        <f>+G77</f>
        <v>181.58399999999997</v>
      </c>
      <c r="C91" s="231">
        <f>+G78</f>
        <v>72.759700000000009</v>
      </c>
      <c r="D91" s="228">
        <f>+B91-C91</f>
        <v>108.82429999999997</v>
      </c>
      <c r="E91" s="228">
        <f>+D91*$A$15/100</f>
        <v>22.504865239999994</v>
      </c>
      <c r="F91" s="292">
        <f>+E91*$G$79*$F$94</f>
        <v>4410.9535870399986</v>
      </c>
      <c r="G91" s="293" t="e">
        <f>+F91/$G$94</f>
        <v>#DIV/0!</v>
      </c>
      <c r="H91" s="261">
        <f>+F91/$F$94</f>
        <v>1.1252432619999997</v>
      </c>
      <c r="I91" s="294">
        <f t="shared" si="19"/>
        <v>1.2733748642680938</v>
      </c>
      <c r="J91" s="295">
        <f>+F91*0.1</f>
        <v>441.09535870399986</v>
      </c>
      <c r="K91" s="296">
        <f>+F91/$A$12*$D$142*800</f>
        <v>1018.699891414475</v>
      </c>
      <c r="L91" s="297">
        <v>170.88607594936707</v>
      </c>
      <c r="M91" s="248">
        <f t="shared" si="20"/>
        <v>85.443037974683534</v>
      </c>
      <c r="N91" s="232">
        <f>MIN(K91, M91)</f>
        <v>85.443037974683534</v>
      </c>
    </row>
    <row r="93" spans="1:19" x14ac:dyDescent="0.25">
      <c r="C93" s="20" t="s">
        <v>78</v>
      </c>
      <c r="D93" s="20" t="s">
        <v>81</v>
      </c>
      <c r="E93" s="20" t="s">
        <v>79</v>
      </c>
      <c r="F93" s="20" t="s">
        <v>80</v>
      </c>
      <c r="G93" s="20" t="s">
        <v>117</v>
      </c>
    </row>
    <row r="94" spans="1:19" x14ac:dyDescent="0.25">
      <c r="C94" s="20">
        <f>+A2</f>
        <v>0</v>
      </c>
      <c r="D94" s="18">
        <f>+A6</f>
        <v>0</v>
      </c>
      <c r="E94" s="20">
        <f>+A8</f>
        <v>0</v>
      </c>
      <c r="F94" s="20">
        <f>+A12</f>
        <v>3920</v>
      </c>
      <c r="G94" s="46">
        <f>+D94*F94</f>
        <v>0</v>
      </c>
    </row>
    <row r="95" spans="1:19" x14ac:dyDescent="0.25">
      <c r="D95" s="18"/>
      <c r="G95" s="46"/>
    </row>
    <row r="96" spans="1:19" s="183" customFormat="1" ht="90" x14ac:dyDescent="0.25">
      <c r="A96" s="252"/>
      <c r="B96" s="249" t="s">
        <v>83</v>
      </c>
      <c r="C96" s="249" t="s">
        <v>84</v>
      </c>
      <c r="D96" s="249" t="s">
        <v>263</v>
      </c>
      <c r="E96" s="249" t="s">
        <v>85</v>
      </c>
      <c r="F96" s="249" t="s">
        <v>89</v>
      </c>
      <c r="G96" s="249" t="s">
        <v>181</v>
      </c>
      <c r="H96" s="249" t="s">
        <v>91</v>
      </c>
      <c r="I96" s="249" t="s">
        <v>189</v>
      </c>
      <c r="J96" s="249" t="s">
        <v>264</v>
      </c>
      <c r="K96" s="249" t="s">
        <v>265</v>
      </c>
      <c r="L96" s="249" t="s">
        <v>90</v>
      </c>
      <c r="M96" s="253" t="s">
        <v>190</v>
      </c>
    </row>
    <row r="97" spans="1:28" x14ac:dyDescent="0.25">
      <c r="A97" s="172" t="s">
        <v>93</v>
      </c>
      <c r="B97" s="22">
        <f>+$A$6*L34</f>
        <v>0</v>
      </c>
      <c r="C97" s="46">
        <f>+$F$94*B97</f>
        <v>0</v>
      </c>
      <c r="M97" s="169"/>
      <c r="AB97" s="165"/>
    </row>
    <row r="98" spans="1:28" x14ac:dyDescent="0.25">
      <c r="A98" s="172" t="s">
        <v>86</v>
      </c>
      <c r="B98" s="22">
        <f>+$B$97/$L$37*L39</f>
        <v>0</v>
      </c>
      <c r="C98" s="46">
        <f>+$F$94*B98</f>
        <v>0</v>
      </c>
      <c r="D98" s="46">
        <f>+$C$97-C98</f>
        <v>0</v>
      </c>
      <c r="E98" s="21" t="e">
        <f>+D98/$C$97</f>
        <v>#DIV/0!</v>
      </c>
      <c r="F98" s="20">
        <v>3</v>
      </c>
      <c r="G98" s="46">
        <f>+F98*$E$94</f>
        <v>0</v>
      </c>
      <c r="H98" s="49" t="e">
        <f>+D98*0.1/$C$94</f>
        <v>#DIV/0!</v>
      </c>
      <c r="I98" s="50">
        <f>MAX(G98-$A$3,0)*1.2</f>
        <v>0</v>
      </c>
      <c r="J98" s="282">
        <f>+D98/$F$94</f>
        <v>0</v>
      </c>
      <c r="K98" s="283">
        <f>+J98*$D$142</f>
        <v>0</v>
      </c>
      <c r="L98" s="49" t="e">
        <f>+D98*0.1/G98</f>
        <v>#DIV/0!</v>
      </c>
      <c r="M98" s="258" t="e">
        <f>800*K98/G98</f>
        <v>#DIV/0!</v>
      </c>
      <c r="AB98" s="165"/>
    </row>
    <row r="99" spans="1:28" x14ac:dyDescent="0.25">
      <c r="A99" s="172" t="s">
        <v>87</v>
      </c>
      <c r="B99" s="22">
        <f>+$B$97/$L$37*L40</f>
        <v>0</v>
      </c>
      <c r="C99" s="46">
        <f>+$F$94*B99</f>
        <v>0</v>
      </c>
      <c r="D99" s="46">
        <f>+$C$97-C99</f>
        <v>0</v>
      </c>
      <c r="E99" s="21" t="e">
        <f>+D99/$C$97</f>
        <v>#DIV/0!</v>
      </c>
      <c r="F99" s="20">
        <v>5</v>
      </c>
      <c r="G99" s="46">
        <f>+F99*$E$94</f>
        <v>0</v>
      </c>
      <c r="H99" s="49" t="e">
        <f>+D99*0.1/$C$94</f>
        <v>#DIV/0!</v>
      </c>
      <c r="I99" s="50">
        <f>MAX(G99-$A$3,0)*1.2</f>
        <v>0</v>
      </c>
      <c r="J99" s="74">
        <f>+D99/$F$94</f>
        <v>0</v>
      </c>
      <c r="K99" s="283">
        <f>+J99*$D$142</f>
        <v>0</v>
      </c>
      <c r="L99" s="49" t="e">
        <f>+D99*0.1/G99</f>
        <v>#DIV/0!</v>
      </c>
      <c r="M99" s="258" t="e">
        <f>800*K99/G99</f>
        <v>#DIV/0!</v>
      </c>
      <c r="X99" s="164"/>
      <c r="AB99" s="165"/>
    </row>
    <row r="100" spans="1:28" x14ac:dyDescent="0.25">
      <c r="A100" s="173" t="s">
        <v>88</v>
      </c>
      <c r="B100" s="176">
        <f>+$B$97/$L$37*L41</f>
        <v>0</v>
      </c>
      <c r="C100" s="230">
        <f>+$F$94*B100</f>
        <v>0</v>
      </c>
      <c r="D100" s="230">
        <f>+$C$97-C100</f>
        <v>0</v>
      </c>
      <c r="E100" s="175" t="e">
        <f>+D100/$C$97</f>
        <v>#DIV/0!</v>
      </c>
      <c r="F100" s="174">
        <v>10</v>
      </c>
      <c r="G100" s="230">
        <f>+F100*$E$94</f>
        <v>0</v>
      </c>
      <c r="H100" s="259" t="e">
        <f>+D100*0.1/$C$94</f>
        <v>#DIV/0!</v>
      </c>
      <c r="I100" s="260">
        <f>MAX(G100-$A$3,0)*1.2</f>
        <v>0</v>
      </c>
      <c r="J100" s="229">
        <f>+D100/$F$94</f>
        <v>0</v>
      </c>
      <c r="K100" s="284">
        <f>+J100*$D$142</f>
        <v>0</v>
      </c>
      <c r="L100" s="259" t="e">
        <f>+D100*0.1/G100</f>
        <v>#DIV/0!</v>
      </c>
      <c r="M100" s="262" t="e">
        <f>800*K100/G100</f>
        <v>#DIV/0!</v>
      </c>
    </row>
    <row r="101" spans="1:28" x14ac:dyDescent="0.25">
      <c r="J101" s="18"/>
    </row>
    <row r="102" spans="1:28" x14ac:dyDescent="0.25">
      <c r="A102" s="75" t="s">
        <v>241</v>
      </c>
      <c r="D102" s="20" t="s">
        <v>214</v>
      </c>
      <c r="E102" s="20" t="s">
        <v>215</v>
      </c>
      <c r="H102" s="48"/>
      <c r="I102" s="50"/>
      <c r="J102" s="18"/>
    </row>
    <row r="103" spans="1:28" x14ac:dyDescent="0.25">
      <c r="A103" s="20" t="s">
        <v>97</v>
      </c>
      <c r="C103" s="46">
        <f>+E94</f>
        <v>0</v>
      </c>
      <c r="D103" s="44">
        <v>0.2</v>
      </c>
      <c r="E103" s="20">
        <f>ROUND(C103*(1+D103),0)</f>
        <v>0</v>
      </c>
      <c r="I103" s="50"/>
      <c r="J103" s="18"/>
      <c r="K103" s="48"/>
    </row>
    <row r="104" spans="1:28" x14ac:dyDescent="0.25">
      <c r="C104" s="46"/>
      <c r="D104" s="44"/>
      <c r="I104" s="50"/>
      <c r="J104" s="18"/>
      <c r="K104" s="48"/>
    </row>
    <row r="105" spans="1:28" ht="60" x14ac:dyDescent="0.25">
      <c r="A105" s="171"/>
      <c r="B105" s="249" t="s">
        <v>273</v>
      </c>
      <c r="C105" s="249" t="s">
        <v>272</v>
      </c>
      <c r="D105" s="249" t="s">
        <v>274</v>
      </c>
      <c r="E105" s="249" t="s">
        <v>275</v>
      </c>
      <c r="F105" s="249" t="s">
        <v>276</v>
      </c>
      <c r="G105" s="249" t="s">
        <v>265</v>
      </c>
      <c r="H105" s="249" t="s">
        <v>98</v>
      </c>
      <c r="I105" s="253" t="s">
        <v>190</v>
      </c>
      <c r="J105" s="18"/>
      <c r="K105" s="48"/>
    </row>
    <row r="106" spans="1:28" x14ac:dyDescent="0.25">
      <c r="A106" s="172" t="s">
        <v>94</v>
      </c>
      <c r="B106" s="45">
        <f>+$L50/1000*$C$103</f>
        <v>0</v>
      </c>
      <c r="C106" s="46">
        <f>+B106*$F$94</f>
        <v>0</v>
      </c>
      <c r="D106" s="46"/>
      <c r="F106" s="18"/>
      <c r="H106" s="47"/>
      <c r="I106" s="264"/>
    </row>
    <row r="107" spans="1:28" x14ac:dyDescent="0.25">
      <c r="A107" s="173" t="s">
        <v>95</v>
      </c>
      <c r="B107" s="265">
        <f>+$L51/1000*$C$103</f>
        <v>0</v>
      </c>
      <c r="C107" s="230">
        <f>+B107*$F$94</f>
        <v>0</v>
      </c>
      <c r="D107" s="230">
        <f>+C106-C107</f>
        <v>0</v>
      </c>
      <c r="E107" s="175" t="e">
        <f>+D107/C106</f>
        <v>#DIV/0!</v>
      </c>
      <c r="F107" s="229">
        <f>+D107/$F$94</f>
        <v>0</v>
      </c>
      <c r="G107" s="285">
        <f>F107*D142</f>
        <v>0</v>
      </c>
      <c r="H107" s="259" t="e">
        <f>+$D$107*0.1/C103</f>
        <v>#DIV/0!</v>
      </c>
      <c r="I107" s="262" t="e">
        <f>+F107*800*$D$142/C103</f>
        <v>#DIV/0!</v>
      </c>
    </row>
    <row r="108" spans="1:28" x14ac:dyDescent="0.25">
      <c r="B108" s="263"/>
      <c r="J108" s="18"/>
      <c r="U108" s="48"/>
    </row>
    <row r="109" spans="1:28" x14ac:dyDescent="0.25">
      <c r="J109" s="18"/>
    </row>
    <row r="110" spans="1:28" x14ac:dyDescent="0.25">
      <c r="A110" s="75" t="s">
        <v>242</v>
      </c>
      <c r="D110" s="20" t="s">
        <v>214</v>
      </c>
      <c r="E110" s="20" t="s">
        <v>215</v>
      </c>
      <c r="J110" s="18"/>
    </row>
    <row r="111" spans="1:28" x14ac:dyDescent="0.25">
      <c r="A111" s="20" t="s">
        <v>141</v>
      </c>
      <c r="C111" s="20">
        <f>+E94</f>
        <v>0</v>
      </c>
      <c r="D111" s="44">
        <v>0.2</v>
      </c>
      <c r="E111" s="20">
        <f>ROUND(C111*(1+D111),0)</f>
        <v>0</v>
      </c>
      <c r="J111" s="18"/>
    </row>
    <row r="112" spans="1:28" x14ac:dyDescent="0.25">
      <c r="J112" s="18"/>
    </row>
    <row r="113" spans="1:11" ht="90" x14ac:dyDescent="0.25">
      <c r="A113" s="266"/>
      <c r="B113" s="249" t="s">
        <v>142</v>
      </c>
      <c r="C113" s="249" t="s">
        <v>101</v>
      </c>
      <c r="D113" s="249" t="s">
        <v>102</v>
      </c>
      <c r="E113" s="249" t="s">
        <v>274</v>
      </c>
      <c r="F113" s="249" t="s">
        <v>275</v>
      </c>
      <c r="G113" s="249" t="s">
        <v>276</v>
      </c>
      <c r="H113" s="249" t="s">
        <v>265</v>
      </c>
      <c r="I113" s="249" t="s">
        <v>98</v>
      </c>
      <c r="J113" s="253" t="s">
        <v>190</v>
      </c>
    </row>
    <row r="114" spans="1:11" x14ac:dyDescent="0.25">
      <c r="A114" s="172" t="s">
        <v>99</v>
      </c>
      <c r="B114" s="22">
        <f>+$C$111*$L$52</f>
        <v>0</v>
      </c>
      <c r="C114" s="43">
        <f>+B114/100*$A$15</f>
        <v>0</v>
      </c>
      <c r="D114" s="46">
        <f>+C114*$F$94</f>
        <v>0</v>
      </c>
      <c r="J114" s="169"/>
    </row>
    <row r="115" spans="1:11" x14ac:dyDescent="0.25">
      <c r="A115" s="173" t="s">
        <v>218</v>
      </c>
      <c r="B115" s="176">
        <f>+$C$111*$L$52*(1-$L$53)</f>
        <v>0</v>
      </c>
      <c r="C115" s="228">
        <f>+B115/100*$A$15</f>
        <v>0</v>
      </c>
      <c r="D115" s="230">
        <f>+C115*$F$94</f>
        <v>0</v>
      </c>
      <c r="E115" s="260">
        <f>+D114-D115</f>
        <v>0</v>
      </c>
      <c r="F115" s="175" t="e">
        <f>+E115/D114</f>
        <v>#DIV/0!</v>
      </c>
      <c r="G115" s="229">
        <f>+E115/$F$94</f>
        <v>0</v>
      </c>
      <c r="H115" s="285">
        <f>G115*D142</f>
        <v>0</v>
      </c>
      <c r="I115" s="259" t="e">
        <f>+E115*0.1/$C$111</f>
        <v>#DIV/0!</v>
      </c>
      <c r="J115" s="262" t="e">
        <f>+G115*800*$D$142/C111</f>
        <v>#DIV/0!</v>
      </c>
    </row>
    <row r="116" spans="1:11" x14ac:dyDescent="0.25">
      <c r="K116" s="48"/>
    </row>
    <row r="117" spans="1:11" x14ac:dyDescent="0.25">
      <c r="K117" s="71"/>
    </row>
    <row r="118" spans="1:11" x14ac:dyDescent="0.25">
      <c r="A118" s="267" t="s">
        <v>150</v>
      </c>
      <c r="G118" s="24"/>
      <c r="H118" s="24"/>
    </row>
    <row r="119" spans="1:11" x14ac:dyDescent="0.25">
      <c r="A119" s="338" t="s">
        <v>19</v>
      </c>
      <c r="B119" s="338"/>
      <c r="C119" s="52">
        <v>1.410142857142857E-2</v>
      </c>
      <c r="G119" s="24"/>
      <c r="H119" s="24"/>
    </row>
    <row r="120" spans="1:11" x14ac:dyDescent="0.25">
      <c r="A120" s="338" t="s">
        <v>33</v>
      </c>
      <c r="B120" s="338"/>
      <c r="C120" s="52">
        <v>6.6219104308390007E-3</v>
      </c>
      <c r="G120" s="24"/>
      <c r="H120" s="24"/>
    </row>
    <row r="121" spans="1:11" x14ac:dyDescent="0.25">
      <c r="A121" s="338" t="s">
        <v>148</v>
      </c>
      <c r="B121" s="338"/>
      <c r="C121" s="52">
        <v>6.0000000000000001E-3</v>
      </c>
      <c r="G121" s="24"/>
      <c r="H121" s="24"/>
    </row>
    <row r="122" spans="1:11" x14ac:dyDescent="0.25">
      <c r="A122" s="51"/>
      <c r="B122" s="51"/>
      <c r="C122" s="52"/>
      <c r="H122" s="24"/>
    </row>
    <row r="123" spans="1:11" x14ac:dyDescent="0.25">
      <c r="A123" s="24" t="s">
        <v>73</v>
      </c>
      <c r="B123" s="24"/>
      <c r="C123" s="25">
        <v>4</v>
      </c>
      <c r="H123" s="24"/>
    </row>
    <row r="124" spans="1:11" x14ac:dyDescent="0.25">
      <c r="A124" s="24" t="s">
        <v>146</v>
      </c>
      <c r="B124" s="24"/>
      <c r="C124" s="53">
        <v>420</v>
      </c>
      <c r="H124" s="24"/>
    </row>
    <row r="125" spans="1:11" x14ac:dyDescent="0.25">
      <c r="A125" s="24" t="s">
        <v>147</v>
      </c>
      <c r="B125" s="51"/>
      <c r="C125" s="53">
        <v>328.59228571428582</v>
      </c>
      <c r="H125" s="24"/>
    </row>
    <row r="126" spans="1:11" x14ac:dyDescent="0.25">
      <c r="A126" s="24" t="s">
        <v>74</v>
      </c>
      <c r="B126" s="51"/>
      <c r="C126" s="54">
        <f>+C124-C125</f>
        <v>91.407714285714178</v>
      </c>
      <c r="H126" s="24"/>
    </row>
    <row r="127" spans="1:11" x14ac:dyDescent="0.25">
      <c r="A127" s="24" t="s">
        <v>75</v>
      </c>
      <c r="B127" s="51"/>
      <c r="C127" s="55">
        <f>+C126/C124</f>
        <v>0.21763741496598613</v>
      </c>
    </row>
    <row r="129" spans="1:12" ht="45" x14ac:dyDescent="0.25">
      <c r="A129" s="266" t="s">
        <v>0</v>
      </c>
      <c r="B129" s="249" t="s">
        <v>1</v>
      </c>
      <c r="C129" s="249" t="s">
        <v>5</v>
      </c>
      <c r="D129" s="249" t="s">
        <v>2</v>
      </c>
      <c r="E129" s="249" t="s">
        <v>3</v>
      </c>
      <c r="F129" s="249" t="s">
        <v>4</v>
      </c>
      <c r="G129" s="249" t="s">
        <v>38</v>
      </c>
      <c r="H129" s="249" t="s">
        <v>39</v>
      </c>
      <c r="I129" s="249" t="s">
        <v>40</v>
      </c>
      <c r="J129" s="249" t="s">
        <v>41</v>
      </c>
      <c r="K129" s="249" t="s">
        <v>42</v>
      </c>
      <c r="L129" s="253" t="s">
        <v>43</v>
      </c>
    </row>
    <row r="130" spans="1:12" x14ac:dyDescent="0.25">
      <c r="A130" s="271">
        <v>0</v>
      </c>
      <c r="B130" s="23">
        <v>0.27</v>
      </c>
      <c r="C130" s="23">
        <v>0.27</v>
      </c>
      <c r="D130" s="23">
        <v>0.27</v>
      </c>
      <c r="E130" s="23">
        <v>0.27</v>
      </c>
      <c r="F130" s="23">
        <v>0.27</v>
      </c>
      <c r="G130" s="23">
        <v>0.27</v>
      </c>
      <c r="H130" s="23">
        <v>0.71</v>
      </c>
      <c r="I130" s="23">
        <v>0.26</v>
      </c>
      <c r="J130" s="23">
        <v>0.25</v>
      </c>
      <c r="K130" s="23">
        <v>0.12</v>
      </c>
      <c r="L130" s="268">
        <v>0</v>
      </c>
    </row>
    <row r="131" spans="1:12" x14ac:dyDescent="0.25">
      <c r="A131" s="271">
        <v>0.1</v>
      </c>
      <c r="B131" s="23">
        <v>0.32</v>
      </c>
      <c r="C131" s="23">
        <v>0.33</v>
      </c>
      <c r="D131" s="23">
        <v>0.34</v>
      </c>
      <c r="E131" s="23">
        <v>0.34</v>
      </c>
      <c r="F131" s="23">
        <v>0.34</v>
      </c>
      <c r="G131" s="23">
        <v>0.34</v>
      </c>
      <c r="H131" s="23">
        <v>0.74</v>
      </c>
      <c r="I131" s="23">
        <v>0.4</v>
      </c>
      <c r="J131" s="23">
        <v>0.34</v>
      </c>
      <c r="K131" s="23">
        <v>0.2</v>
      </c>
      <c r="L131" s="268">
        <v>0.12</v>
      </c>
    </row>
    <row r="132" spans="1:12" x14ac:dyDescent="0.25">
      <c r="A132" s="271">
        <v>0.2</v>
      </c>
      <c r="B132" s="23">
        <v>0.63</v>
      </c>
      <c r="C132" s="23">
        <v>0.61</v>
      </c>
      <c r="D132" s="23">
        <v>0.54</v>
      </c>
      <c r="E132" s="23">
        <v>0.45</v>
      </c>
      <c r="F132" s="23">
        <v>0.42</v>
      </c>
      <c r="G132" s="23">
        <v>0.42</v>
      </c>
      <c r="H132" s="23">
        <v>0.76</v>
      </c>
      <c r="I132" s="23">
        <v>0.54</v>
      </c>
      <c r="J132" s="23">
        <v>0.44</v>
      </c>
      <c r="K132" s="23">
        <v>0.28000000000000003</v>
      </c>
      <c r="L132" s="268">
        <v>0.24</v>
      </c>
    </row>
    <row r="133" spans="1:12" x14ac:dyDescent="0.25">
      <c r="A133" s="271">
        <v>0.3</v>
      </c>
      <c r="B133" s="23">
        <v>0.74</v>
      </c>
      <c r="C133" s="23">
        <v>0.72</v>
      </c>
      <c r="D133" s="23">
        <v>0.64</v>
      </c>
      <c r="E133" s="23">
        <v>0.55000000000000004</v>
      </c>
      <c r="F133" s="23">
        <v>0.52</v>
      </c>
      <c r="G133" s="23">
        <v>0.49</v>
      </c>
      <c r="H133" s="23">
        <v>0.79</v>
      </c>
      <c r="I133" s="23">
        <v>0.62</v>
      </c>
      <c r="J133" s="23">
        <v>0.52</v>
      </c>
      <c r="K133" s="23">
        <v>0.36</v>
      </c>
      <c r="L133" s="268">
        <v>0.33</v>
      </c>
    </row>
    <row r="134" spans="1:12" x14ac:dyDescent="0.25">
      <c r="A134" s="271">
        <v>0.4</v>
      </c>
      <c r="B134" s="23">
        <v>0.81</v>
      </c>
      <c r="C134" s="23">
        <v>0.79</v>
      </c>
      <c r="D134" s="23">
        <v>0.73</v>
      </c>
      <c r="E134" s="23">
        <v>0.64</v>
      </c>
      <c r="F134" s="23">
        <v>0.6</v>
      </c>
      <c r="G134" s="23">
        <v>0.56000000000000005</v>
      </c>
      <c r="H134" s="23">
        <v>0.82</v>
      </c>
      <c r="I134" s="23">
        <v>0.82</v>
      </c>
      <c r="J134" s="23">
        <v>0.61</v>
      </c>
      <c r="K134" s="23">
        <v>0.45</v>
      </c>
      <c r="L134" s="268">
        <v>0.41</v>
      </c>
    </row>
    <row r="135" spans="1:12" x14ac:dyDescent="0.25">
      <c r="A135" s="271">
        <v>0.5</v>
      </c>
      <c r="B135" s="23">
        <v>0.87</v>
      </c>
      <c r="C135" s="23">
        <v>0.85</v>
      </c>
      <c r="D135" s="23">
        <v>0.79</v>
      </c>
      <c r="E135" s="23">
        <v>0.71</v>
      </c>
      <c r="F135" s="23">
        <v>0.68</v>
      </c>
      <c r="G135" s="23">
        <v>0.64</v>
      </c>
      <c r="H135" s="23">
        <v>0.86</v>
      </c>
      <c r="I135" s="23">
        <v>0.86</v>
      </c>
      <c r="J135" s="23">
        <v>0.63</v>
      </c>
      <c r="K135" s="23">
        <v>0.53</v>
      </c>
      <c r="L135" s="268">
        <v>0.53</v>
      </c>
    </row>
    <row r="136" spans="1:12" x14ac:dyDescent="0.25">
      <c r="A136" s="271">
        <v>0.6</v>
      </c>
      <c r="B136" s="23">
        <v>0.92</v>
      </c>
      <c r="C136" s="23">
        <v>0.9</v>
      </c>
      <c r="D136" s="23">
        <v>0.85</v>
      </c>
      <c r="E136" s="23">
        <v>0.78</v>
      </c>
      <c r="F136" s="23">
        <v>0.76</v>
      </c>
      <c r="G136" s="23">
        <v>0.71</v>
      </c>
      <c r="H136" s="23">
        <v>0.88</v>
      </c>
      <c r="I136" s="23">
        <v>0.88</v>
      </c>
      <c r="J136" s="23">
        <v>0.69</v>
      </c>
      <c r="K136" s="23">
        <v>0.6</v>
      </c>
      <c r="L136" s="268">
        <v>0.6</v>
      </c>
    </row>
    <row r="137" spans="1:12" x14ac:dyDescent="0.25">
      <c r="A137" s="271">
        <v>0.7</v>
      </c>
      <c r="B137" s="23">
        <v>0.95</v>
      </c>
      <c r="C137" s="23">
        <v>0.94</v>
      </c>
      <c r="D137" s="23">
        <v>0.9</v>
      </c>
      <c r="E137" s="23">
        <v>0.85</v>
      </c>
      <c r="F137" s="23">
        <v>0.83</v>
      </c>
      <c r="G137" s="23">
        <v>0.78</v>
      </c>
      <c r="H137" s="23">
        <v>0.92</v>
      </c>
      <c r="I137" s="23">
        <v>0.92</v>
      </c>
      <c r="J137" s="23">
        <v>0.77</v>
      </c>
      <c r="K137" s="23">
        <v>0.71</v>
      </c>
      <c r="L137" s="268">
        <v>0.71</v>
      </c>
    </row>
    <row r="138" spans="1:12" x14ac:dyDescent="0.25">
      <c r="A138" s="271">
        <v>0.8</v>
      </c>
      <c r="B138" s="23">
        <v>0.98</v>
      </c>
      <c r="C138" s="23">
        <v>0.97</v>
      </c>
      <c r="D138" s="23">
        <v>0.94</v>
      </c>
      <c r="E138" s="23">
        <v>0.91</v>
      </c>
      <c r="F138" s="23">
        <v>0.89</v>
      </c>
      <c r="G138" s="23">
        <v>0.85</v>
      </c>
      <c r="H138" s="23">
        <v>0.94</v>
      </c>
      <c r="I138" s="23">
        <v>0.94</v>
      </c>
      <c r="J138" s="23">
        <v>0.85</v>
      </c>
      <c r="K138" s="23">
        <v>0.8</v>
      </c>
      <c r="L138" s="268">
        <v>0.8</v>
      </c>
    </row>
    <row r="139" spans="1:12" x14ac:dyDescent="0.25">
      <c r="A139" s="271">
        <v>0.9</v>
      </c>
      <c r="B139" s="23">
        <v>1</v>
      </c>
      <c r="C139" s="23">
        <v>1</v>
      </c>
      <c r="D139" s="23">
        <v>0.98</v>
      </c>
      <c r="E139" s="23">
        <v>0.97</v>
      </c>
      <c r="F139" s="23">
        <v>0.96</v>
      </c>
      <c r="G139" s="23">
        <v>0.93</v>
      </c>
      <c r="H139" s="23">
        <v>0.97</v>
      </c>
      <c r="I139" s="23">
        <v>0.97</v>
      </c>
      <c r="J139" s="23">
        <v>0.91</v>
      </c>
      <c r="K139" s="23">
        <v>0.89</v>
      </c>
      <c r="L139" s="268">
        <v>0.89</v>
      </c>
    </row>
    <row r="140" spans="1:12" x14ac:dyDescent="0.25">
      <c r="A140" s="272">
        <v>1</v>
      </c>
      <c r="B140" s="269">
        <v>1</v>
      </c>
      <c r="C140" s="269">
        <v>1</v>
      </c>
      <c r="D140" s="269">
        <v>1</v>
      </c>
      <c r="E140" s="269">
        <v>1</v>
      </c>
      <c r="F140" s="269">
        <v>1</v>
      </c>
      <c r="G140" s="269">
        <v>1</v>
      </c>
      <c r="H140" s="269">
        <v>1</v>
      </c>
      <c r="I140" s="269">
        <v>1</v>
      </c>
      <c r="J140" s="269">
        <v>1</v>
      </c>
      <c r="K140" s="269">
        <v>1</v>
      </c>
      <c r="L140" s="270">
        <v>1</v>
      </c>
    </row>
    <row r="141" spans="1:12" x14ac:dyDescent="0.25">
      <c r="A141" s="24"/>
      <c r="B141" s="24"/>
      <c r="C141" s="24"/>
      <c r="D141" s="24"/>
      <c r="E141" s="24"/>
      <c r="F141" s="24"/>
      <c r="G141" s="24"/>
      <c r="H141" s="24"/>
      <c r="I141" s="24"/>
    </row>
    <row r="142" spans="1:12" x14ac:dyDescent="0.25">
      <c r="A142" s="24" t="s">
        <v>17</v>
      </c>
      <c r="B142" s="24"/>
      <c r="C142" s="24"/>
      <c r="D142" s="56">
        <f>+D144/D143</f>
        <v>1.1316440695719483</v>
      </c>
      <c r="E142" s="24" t="s">
        <v>182</v>
      </c>
      <c r="F142" s="24"/>
      <c r="G142" s="24"/>
      <c r="H142" s="24" t="s">
        <v>151</v>
      </c>
      <c r="I142" s="24"/>
    </row>
    <row r="143" spans="1:12" x14ac:dyDescent="0.25">
      <c r="A143" s="24" t="s">
        <v>33</v>
      </c>
      <c r="B143" s="24"/>
      <c r="C143" s="57">
        <v>5364.5047619047646</v>
      </c>
      <c r="D143" s="57">
        <v>60.960281385281391</v>
      </c>
      <c r="E143" s="57">
        <v>65.208333333333329</v>
      </c>
      <c r="F143" s="57">
        <v>22.791666666666668</v>
      </c>
      <c r="G143" s="24"/>
      <c r="H143" s="24"/>
      <c r="I143" s="24"/>
    </row>
    <row r="144" spans="1:12" x14ac:dyDescent="0.25">
      <c r="A144" s="24" t="s">
        <v>46</v>
      </c>
      <c r="B144" s="24"/>
      <c r="C144" s="57">
        <v>6070.71</v>
      </c>
      <c r="D144" s="57">
        <v>68.985340909090922</v>
      </c>
      <c r="E144" s="57">
        <v>72.533333333333331</v>
      </c>
      <c r="F144" s="57">
        <v>15.466666666666667</v>
      </c>
      <c r="G144" s="24"/>
      <c r="H144" s="24">
        <v>122.88636363636364</v>
      </c>
      <c r="I144" s="24" t="s">
        <v>48</v>
      </c>
    </row>
    <row r="145" spans="1:9" x14ac:dyDescent="0.25">
      <c r="A145" s="24"/>
      <c r="B145" s="24"/>
      <c r="C145" s="57"/>
      <c r="D145" s="57"/>
      <c r="E145" s="57"/>
      <c r="F145" s="57"/>
      <c r="G145" s="24"/>
      <c r="H145" s="24"/>
      <c r="I145" s="24"/>
    </row>
    <row r="146" spans="1:9" s="273" customFormat="1" ht="45" x14ac:dyDescent="0.25">
      <c r="A146" s="274" t="s">
        <v>34</v>
      </c>
      <c r="B146" s="249" t="s">
        <v>35</v>
      </c>
      <c r="C146" s="275" t="s">
        <v>36</v>
      </c>
      <c r="D146" s="276" t="s">
        <v>37</v>
      </c>
      <c r="E146" s="277" t="s">
        <v>44</v>
      </c>
      <c r="F146" s="277" t="s">
        <v>45</v>
      </c>
      <c r="G146" s="253" t="s">
        <v>131</v>
      </c>
    </row>
    <row r="147" spans="1:9" x14ac:dyDescent="0.25">
      <c r="A147" s="278">
        <v>0</v>
      </c>
      <c r="B147" s="183">
        <v>1</v>
      </c>
      <c r="C147" s="196">
        <v>3216.900000000001</v>
      </c>
      <c r="D147" s="245">
        <v>36.555681818181831</v>
      </c>
      <c r="E147" s="241">
        <v>49</v>
      </c>
      <c r="F147" s="241">
        <v>39</v>
      </c>
      <c r="G147" s="279">
        <v>30</v>
      </c>
      <c r="I147" s="24"/>
    </row>
    <row r="148" spans="1:9" x14ac:dyDescent="0.25">
      <c r="A148" s="278">
        <v>1</v>
      </c>
      <c r="B148" s="183">
        <v>2</v>
      </c>
      <c r="C148" s="196">
        <v>3183.3999999999992</v>
      </c>
      <c r="D148" s="245">
        <v>36.17499999999999</v>
      </c>
      <c r="E148" s="241">
        <v>48</v>
      </c>
      <c r="F148" s="241">
        <v>40</v>
      </c>
      <c r="G148" s="279">
        <v>30</v>
      </c>
      <c r="I148" s="24"/>
    </row>
    <row r="149" spans="1:9" x14ac:dyDescent="0.25">
      <c r="A149" s="278">
        <v>2</v>
      </c>
      <c r="B149" s="183">
        <v>3</v>
      </c>
      <c r="C149" s="196">
        <v>3197.2999999999997</v>
      </c>
      <c r="D149" s="245">
        <v>36.332954545454541</v>
      </c>
      <c r="E149" s="241">
        <v>49</v>
      </c>
      <c r="F149" s="241">
        <v>39</v>
      </c>
      <c r="G149" s="279">
        <v>60</v>
      </c>
      <c r="I149" s="24"/>
    </row>
    <row r="150" spans="1:9" x14ac:dyDescent="0.25">
      <c r="A150" s="278">
        <v>3</v>
      </c>
      <c r="B150" s="183">
        <v>4</v>
      </c>
      <c r="C150" s="196">
        <v>3276.3999999999992</v>
      </c>
      <c r="D150" s="245">
        <v>37.23181818181817</v>
      </c>
      <c r="E150" s="241">
        <v>48</v>
      </c>
      <c r="F150" s="241">
        <v>40</v>
      </c>
      <c r="G150" s="279">
        <v>200</v>
      </c>
      <c r="I150" s="24"/>
    </row>
    <row r="151" spans="1:9" x14ac:dyDescent="0.25">
      <c r="A151" s="278">
        <v>4</v>
      </c>
      <c r="B151" s="183">
        <v>5</v>
      </c>
      <c r="C151" s="196">
        <v>3244.6999999999994</v>
      </c>
      <c r="D151" s="245">
        <v>36.871590909090905</v>
      </c>
      <c r="E151" s="241">
        <v>49</v>
      </c>
      <c r="F151" s="241">
        <v>39</v>
      </c>
      <c r="G151" s="279">
        <v>300</v>
      </c>
      <c r="I151" s="24"/>
    </row>
    <row r="152" spans="1:9" x14ac:dyDescent="0.25">
      <c r="A152" s="278">
        <v>5</v>
      </c>
      <c r="B152" s="183">
        <v>6</v>
      </c>
      <c r="C152" s="196">
        <v>3454.1</v>
      </c>
      <c r="D152" s="245">
        <v>39.251136363636363</v>
      </c>
      <c r="E152" s="241">
        <v>50</v>
      </c>
      <c r="F152" s="241">
        <v>38</v>
      </c>
      <c r="G152" s="279">
        <v>200</v>
      </c>
      <c r="I152" s="24"/>
    </row>
    <row r="153" spans="1:9" x14ac:dyDescent="0.25">
      <c r="A153" s="278">
        <v>6</v>
      </c>
      <c r="B153" s="183">
        <v>7</v>
      </c>
      <c r="C153" s="196">
        <v>3232.7999999999993</v>
      </c>
      <c r="D153" s="245">
        <v>36.736363636363627</v>
      </c>
      <c r="E153" s="241">
        <v>46</v>
      </c>
      <c r="F153" s="241">
        <v>42</v>
      </c>
      <c r="G153" s="279">
        <v>300</v>
      </c>
      <c r="I153" s="24"/>
    </row>
    <row r="154" spans="1:9" x14ac:dyDescent="0.25">
      <c r="A154" s="278">
        <v>7</v>
      </c>
      <c r="B154" s="183">
        <v>8</v>
      </c>
      <c r="C154" s="196">
        <v>2968.1</v>
      </c>
      <c r="D154" s="245">
        <v>33.728409090909089</v>
      </c>
      <c r="E154" s="241">
        <v>46</v>
      </c>
      <c r="F154" s="241">
        <v>42</v>
      </c>
      <c r="G154" s="279">
        <v>300</v>
      </c>
      <c r="I154" s="24"/>
    </row>
    <row r="155" spans="1:9" x14ac:dyDescent="0.25">
      <c r="A155" s="278">
        <v>8</v>
      </c>
      <c r="B155" s="183">
        <v>9</v>
      </c>
      <c r="C155" s="196">
        <v>3129.3999999999996</v>
      </c>
      <c r="D155" s="245">
        <v>35.56136363636363</v>
      </c>
      <c r="E155" s="241">
        <v>45</v>
      </c>
      <c r="F155" s="241">
        <v>43</v>
      </c>
      <c r="G155" s="279">
        <v>370</v>
      </c>
      <c r="I155" s="24"/>
    </row>
    <row r="156" spans="1:9" x14ac:dyDescent="0.25">
      <c r="A156" s="278">
        <v>9</v>
      </c>
      <c r="B156" s="183">
        <v>10</v>
      </c>
      <c r="C156" s="196">
        <v>2990.6000000000008</v>
      </c>
      <c r="D156" s="245">
        <v>33.984090909090916</v>
      </c>
      <c r="E156" s="241">
        <v>44</v>
      </c>
      <c r="F156" s="241">
        <v>44</v>
      </c>
      <c r="G156" s="279">
        <v>300</v>
      </c>
      <c r="I156" s="24"/>
    </row>
    <row r="157" spans="1:9" x14ac:dyDescent="0.25">
      <c r="A157" s="278">
        <v>10</v>
      </c>
      <c r="B157" s="183">
        <v>11</v>
      </c>
      <c r="C157" s="196">
        <v>2904.3999999999996</v>
      </c>
      <c r="D157" s="245">
        <v>33.00454545454545</v>
      </c>
      <c r="E157" s="241">
        <v>43</v>
      </c>
      <c r="F157" s="241">
        <v>45</v>
      </c>
      <c r="G157" s="279">
        <v>500</v>
      </c>
      <c r="I157" s="24"/>
    </row>
    <row r="158" spans="1:9" x14ac:dyDescent="0.25">
      <c r="A158" s="278">
        <v>11</v>
      </c>
      <c r="B158" s="183">
        <v>12</v>
      </c>
      <c r="C158" s="196">
        <v>2987.6</v>
      </c>
      <c r="D158" s="245">
        <v>33.949999999999996</v>
      </c>
      <c r="E158" s="241">
        <v>45</v>
      </c>
      <c r="F158" s="241">
        <v>43</v>
      </c>
      <c r="G158" s="279">
        <v>350</v>
      </c>
      <c r="I158" s="24"/>
    </row>
    <row r="159" spans="1:9" x14ac:dyDescent="0.25">
      <c r="A159" s="278">
        <v>12</v>
      </c>
      <c r="B159" s="183">
        <v>13</v>
      </c>
      <c r="C159" s="196">
        <v>3195.5000000000009</v>
      </c>
      <c r="D159" s="245">
        <v>36.312500000000007</v>
      </c>
      <c r="E159" s="241">
        <v>48</v>
      </c>
      <c r="F159" s="241">
        <v>40</v>
      </c>
      <c r="G159" s="279">
        <v>20</v>
      </c>
      <c r="I159" s="24"/>
    </row>
    <row r="160" spans="1:9" x14ac:dyDescent="0.25">
      <c r="A160" s="278">
        <v>13</v>
      </c>
      <c r="B160" s="183">
        <v>14</v>
      </c>
      <c r="C160" s="196">
        <v>3375.2000000000003</v>
      </c>
      <c r="D160" s="245">
        <v>38.354545454545459</v>
      </c>
      <c r="E160" s="241">
        <v>51</v>
      </c>
      <c r="F160" s="241">
        <v>37</v>
      </c>
      <c r="G160" s="279">
        <v>20</v>
      </c>
      <c r="I160" s="24"/>
    </row>
    <row r="161" spans="1:9" x14ac:dyDescent="0.25">
      <c r="A161" s="278">
        <v>14</v>
      </c>
      <c r="B161" s="183">
        <v>15</v>
      </c>
      <c r="C161" s="196">
        <v>3326.4999999999995</v>
      </c>
      <c r="D161" s="245">
        <v>37.80113636363636</v>
      </c>
      <c r="E161" s="241">
        <v>51</v>
      </c>
      <c r="F161" s="241">
        <v>37</v>
      </c>
      <c r="G161" s="279">
        <v>30</v>
      </c>
      <c r="I161" s="24"/>
    </row>
    <row r="162" spans="1:9" x14ac:dyDescent="0.25">
      <c r="A162" s="278">
        <v>15</v>
      </c>
      <c r="B162" s="183">
        <v>16</v>
      </c>
      <c r="C162" s="196">
        <v>3482.1000000000004</v>
      </c>
      <c r="D162" s="245">
        <v>39.569318181818183</v>
      </c>
      <c r="E162" s="241">
        <v>50</v>
      </c>
      <c r="F162" s="241">
        <v>38</v>
      </c>
      <c r="G162" s="279">
        <v>30</v>
      </c>
      <c r="I162" s="24"/>
    </row>
    <row r="163" spans="1:9" x14ac:dyDescent="0.25">
      <c r="A163" s="278">
        <v>16</v>
      </c>
      <c r="B163" s="183">
        <v>17</v>
      </c>
      <c r="C163" s="196">
        <v>3821.6999999999994</v>
      </c>
      <c r="D163" s="245">
        <v>43.428409090909085</v>
      </c>
      <c r="E163" s="241">
        <v>53</v>
      </c>
      <c r="F163" s="241">
        <v>35</v>
      </c>
      <c r="G163" s="279">
        <v>30</v>
      </c>
      <c r="I163" s="24"/>
    </row>
    <row r="164" spans="1:9" x14ac:dyDescent="0.25">
      <c r="A164" s="278">
        <v>17</v>
      </c>
      <c r="B164" s="183">
        <v>18</v>
      </c>
      <c r="C164" s="196">
        <v>3943.8</v>
      </c>
      <c r="D164" s="245">
        <v>44.815909090909095</v>
      </c>
      <c r="E164" s="241">
        <v>53</v>
      </c>
      <c r="F164" s="241">
        <v>35</v>
      </c>
      <c r="G164" s="279">
        <v>30</v>
      </c>
      <c r="I164" s="24"/>
    </row>
    <row r="165" spans="1:9" x14ac:dyDescent="0.25">
      <c r="A165" s="278">
        <v>18</v>
      </c>
      <c r="B165" s="183">
        <v>19</v>
      </c>
      <c r="C165" s="196">
        <v>3856.1000000000004</v>
      </c>
      <c r="D165" s="245">
        <v>43.819318181818183</v>
      </c>
      <c r="E165" s="241">
        <v>53</v>
      </c>
      <c r="F165" s="241">
        <v>35</v>
      </c>
      <c r="G165" s="279">
        <v>30</v>
      </c>
      <c r="I165" s="24"/>
    </row>
    <row r="166" spans="1:9" x14ac:dyDescent="0.25">
      <c r="A166" s="278">
        <v>19</v>
      </c>
      <c r="B166" s="183">
        <v>20</v>
      </c>
      <c r="C166" s="196">
        <v>3861.1999999999994</v>
      </c>
      <c r="D166" s="245">
        <v>43.877272727272718</v>
      </c>
      <c r="E166" s="241">
        <v>56</v>
      </c>
      <c r="F166" s="241">
        <v>32</v>
      </c>
      <c r="G166" s="279">
        <v>50</v>
      </c>
      <c r="I166" s="24"/>
    </row>
    <row r="167" spans="1:9" x14ac:dyDescent="0.25">
      <c r="A167" s="278">
        <v>20</v>
      </c>
      <c r="B167" s="183">
        <v>21</v>
      </c>
      <c r="C167" s="196">
        <v>4011.9999999999991</v>
      </c>
      <c r="D167" s="245">
        <v>45.590909090909079</v>
      </c>
      <c r="E167" s="241">
        <v>57</v>
      </c>
      <c r="F167" s="241">
        <v>31</v>
      </c>
      <c r="G167" s="279">
        <v>50</v>
      </c>
      <c r="I167" s="24"/>
    </row>
    <row r="168" spans="1:9" x14ac:dyDescent="0.25">
      <c r="A168" s="278">
        <v>21</v>
      </c>
      <c r="B168" s="183">
        <v>22</v>
      </c>
      <c r="C168" s="196">
        <v>4114.7999999999993</v>
      </c>
      <c r="D168" s="245">
        <v>46.759090909090901</v>
      </c>
      <c r="E168" s="241">
        <v>59</v>
      </c>
      <c r="F168" s="241">
        <v>29</v>
      </c>
      <c r="G168" s="279">
        <v>60</v>
      </c>
      <c r="I168" s="24"/>
    </row>
    <row r="169" spans="1:9" x14ac:dyDescent="0.25">
      <c r="A169" s="278">
        <v>22</v>
      </c>
      <c r="B169" s="183">
        <v>23</v>
      </c>
      <c r="C169" s="196">
        <v>4765.6000000000013</v>
      </c>
      <c r="D169" s="245">
        <v>54.15454545454547</v>
      </c>
      <c r="E169" s="241">
        <v>63</v>
      </c>
      <c r="F169" s="241">
        <v>25</v>
      </c>
      <c r="G169" s="279">
        <v>60</v>
      </c>
      <c r="I169" s="24"/>
    </row>
    <row r="170" spans="1:9" x14ac:dyDescent="0.25">
      <c r="A170" s="278">
        <v>23</v>
      </c>
      <c r="B170" s="183">
        <v>24</v>
      </c>
      <c r="C170" s="196">
        <v>5053.2999999999993</v>
      </c>
      <c r="D170" s="245">
        <v>57.423863636363627</v>
      </c>
      <c r="E170" s="241">
        <v>63</v>
      </c>
      <c r="F170" s="241">
        <v>25</v>
      </c>
      <c r="G170" s="279">
        <v>75</v>
      </c>
      <c r="I170" s="24"/>
    </row>
    <row r="171" spans="1:9" x14ac:dyDescent="0.25">
      <c r="A171" s="278">
        <v>0</v>
      </c>
      <c r="B171" s="183">
        <v>25</v>
      </c>
      <c r="C171" s="196">
        <v>4834.0999999999985</v>
      </c>
      <c r="D171" s="245">
        <v>54.932954545454528</v>
      </c>
      <c r="E171" s="241">
        <v>60</v>
      </c>
      <c r="F171" s="241">
        <v>28</v>
      </c>
      <c r="G171" s="279">
        <v>75</v>
      </c>
      <c r="I171" s="24"/>
    </row>
    <row r="172" spans="1:9" x14ac:dyDescent="0.25">
      <c r="A172" s="278">
        <v>1</v>
      </c>
      <c r="B172" s="183">
        <v>26</v>
      </c>
      <c r="C172" s="196">
        <v>4734.5999999999995</v>
      </c>
      <c r="D172" s="245">
        <v>53.802272727272722</v>
      </c>
      <c r="E172" s="241">
        <v>60</v>
      </c>
      <c r="F172" s="241">
        <v>28</v>
      </c>
      <c r="G172" s="279">
        <v>75</v>
      </c>
      <c r="I172" s="24"/>
    </row>
    <row r="173" spans="1:9" x14ac:dyDescent="0.25">
      <c r="A173" s="278">
        <v>2</v>
      </c>
      <c r="B173" s="183">
        <v>27</v>
      </c>
      <c r="C173" s="196">
        <v>5523.7999999999993</v>
      </c>
      <c r="D173" s="245">
        <v>62.770454545454534</v>
      </c>
      <c r="E173" s="241">
        <v>62</v>
      </c>
      <c r="F173" s="241">
        <v>26</v>
      </c>
      <c r="G173" s="279">
        <v>75</v>
      </c>
      <c r="I173" s="24"/>
    </row>
    <row r="174" spans="1:9" x14ac:dyDescent="0.25">
      <c r="A174" s="278">
        <v>3</v>
      </c>
      <c r="B174" s="183">
        <v>28</v>
      </c>
      <c r="C174" s="196">
        <v>4870.7000000000007</v>
      </c>
      <c r="D174" s="245">
        <v>55.348863636363646</v>
      </c>
      <c r="E174" s="241">
        <v>60</v>
      </c>
      <c r="F174" s="241">
        <v>28</v>
      </c>
      <c r="G174" s="279">
        <v>100</v>
      </c>
      <c r="I174" s="24"/>
    </row>
    <row r="175" spans="1:9" x14ac:dyDescent="0.25">
      <c r="A175" s="278">
        <v>4</v>
      </c>
      <c r="B175" s="183">
        <v>29</v>
      </c>
      <c r="C175" s="196">
        <v>5098.1999999999989</v>
      </c>
      <c r="D175" s="245">
        <v>57.934090909090898</v>
      </c>
      <c r="E175" s="241">
        <v>61</v>
      </c>
      <c r="F175" s="241">
        <v>27</v>
      </c>
      <c r="G175" s="279">
        <v>100</v>
      </c>
      <c r="I175" s="24"/>
    </row>
    <row r="176" spans="1:9" x14ac:dyDescent="0.25">
      <c r="A176" s="278">
        <v>5</v>
      </c>
      <c r="B176" s="183">
        <v>30</v>
      </c>
      <c r="C176" s="196">
        <v>6390.5</v>
      </c>
      <c r="D176" s="245">
        <v>72.619318181818187</v>
      </c>
      <c r="E176" s="241">
        <v>72</v>
      </c>
      <c r="F176" s="241">
        <v>16</v>
      </c>
      <c r="G176" s="279">
        <v>125</v>
      </c>
      <c r="I176" s="24"/>
    </row>
    <row r="177" spans="1:9" x14ac:dyDescent="0.25">
      <c r="A177" s="278">
        <v>6</v>
      </c>
      <c r="B177" s="183">
        <v>31</v>
      </c>
      <c r="C177" s="196">
        <v>6471.7000000000016</v>
      </c>
      <c r="D177" s="245">
        <v>73.542045454545473</v>
      </c>
      <c r="E177" s="241">
        <v>75</v>
      </c>
      <c r="F177" s="241">
        <v>13</v>
      </c>
      <c r="G177" s="279">
        <v>125</v>
      </c>
      <c r="I177" s="24"/>
    </row>
    <row r="178" spans="1:9" x14ac:dyDescent="0.25">
      <c r="A178" s="278">
        <v>7</v>
      </c>
      <c r="B178" s="183">
        <v>32</v>
      </c>
      <c r="C178" s="196">
        <v>6774.1</v>
      </c>
      <c r="D178" s="245">
        <v>76.978409090909096</v>
      </c>
      <c r="E178" s="241">
        <v>80</v>
      </c>
      <c r="F178" s="241">
        <v>8</v>
      </c>
      <c r="G178" s="279">
        <v>125</v>
      </c>
      <c r="I178" s="24"/>
    </row>
    <row r="179" spans="1:9" x14ac:dyDescent="0.25">
      <c r="A179" s="278">
        <v>8</v>
      </c>
      <c r="B179" s="183">
        <v>33</v>
      </c>
      <c r="C179" s="196">
        <v>6711.5000000000018</v>
      </c>
      <c r="D179" s="245">
        <v>76.267045454545482</v>
      </c>
      <c r="E179" s="241">
        <v>79</v>
      </c>
      <c r="F179" s="241">
        <v>9</v>
      </c>
      <c r="G179" s="279">
        <v>75</v>
      </c>
      <c r="I179" s="24"/>
    </row>
    <row r="180" spans="1:9" x14ac:dyDescent="0.25">
      <c r="A180" s="278">
        <v>9</v>
      </c>
      <c r="B180" s="183">
        <v>34</v>
      </c>
      <c r="C180" s="196">
        <v>6609.2</v>
      </c>
      <c r="D180" s="245">
        <v>75.104545454545459</v>
      </c>
      <c r="E180" s="241">
        <v>77</v>
      </c>
      <c r="F180" s="241">
        <v>11</v>
      </c>
      <c r="G180" s="279">
        <v>75</v>
      </c>
      <c r="I180" s="24"/>
    </row>
    <row r="181" spans="1:9" x14ac:dyDescent="0.25">
      <c r="A181" s="278">
        <v>10</v>
      </c>
      <c r="B181" s="183">
        <v>35</v>
      </c>
      <c r="C181" s="196">
        <v>6799.2000000000016</v>
      </c>
      <c r="D181" s="245">
        <v>77.26363636363638</v>
      </c>
      <c r="E181" s="241">
        <v>78</v>
      </c>
      <c r="F181" s="241">
        <v>10</v>
      </c>
      <c r="G181" s="279">
        <v>20</v>
      </c>
      <c r="I181" s="24"/>
    </row>
    <row r="182" spans="1:9" x14ac:dyDescent="0.25">
      <c r="A182" s="278">
        <v>11</v>
      </c>
      <c r="B182" s="183">
        <v>36</v>
      </c>
      <c r="C182" s="196">
        <v>6743.4000000000015</v>
      </c>
      <c r="D182" s="245">
        <v>76.629545454545465</v>
      </c>
      <c r="E182" s="241">
        <v>79</v>
      </c>
      <c r="F182" s="241">
        <v>9</v>
      </c>
      <c r="G182" s="279">
        <v>25</v>
      </c>
      <c r="I182" s="24"/>
    </row>
    <row r="183" spans="1:9" x14ac:dyDescent="0.25">
      <c r="A183" s="278">
        <v>12</v>
      </c>
      <c r="B183" s="183">
        <v>37</v>
      </c>
      <c r="C183" s="196">
        <v>6886.5999999999995</v>
      </c>
      <c r="D183" s="245">
        <v>78.256818181818176</v>
      </c>
      <c r="E183" s="241">
        <v>79</v>
      </c>
      <c r="F183" s="241">
        <v>9</v>
      </c>
      <c r="G183" s="279">
        <v>25</v>
      </c>
      <c r="I183" s="24"/>
    </row>
    <row r="184" spans="1:9" x14ac:dyDescent="0.25">
      <c r="A184" s="278">
        <v>13</v>
      </c>
      <c r="B184" s="183">
        <v>38</v>
      </c>
      <c r="C184" s="196">
        <v>6820.4000000000005</v>
      </c>
      <c r="D184" s="245">
        <v>77.504545454545465</v>
      </c>
      <c r="E184" s="241">
        <v>78</v>
      </c>
      <c r="F184" s="241">
        <v>10</v>
      </c>
      <c r="G184" s="279">
        <v>30</v>
      </c>
      <c r="I184" s="24"/>
    </row>
    <row r="185" spans="1:9" x14ac:dyDescent="0.25">
      <c r="A185" s="278">
        <v>14</v>
      </c>
      <c r="B185" s="183">
        <v>39</v>
      </c>
      <c r="C185" s="196">
        <v>6812.0000000000036</v>
      </c>
      <c r="D185" s="245">
        <v>77.409090909090949</v>
      </c>
      <c r="E185" s="241">
        <v>79</v>
      </c>
      <c r="F185" s="241">
        <v>9</v>
      </c>
      <c r="G185" s="279">
        <v>30</v>
      </c>
      <c r="I185" s="24"/>
    </row>
    <row r="186" spans="1:9" x14ac:dyDescent="0.25">
      <c r="A186" s="278">
        <v>15</v>
      </c>
      <c r="B186" s="183">
        <v>40</v>
      </c>
      <c r="C186" s="196">
        <v>6764.3999999999978</v>
      </c>
      <c r="D186" s="245">
        <v>76.868181818181796</v>
      </c>
      <c r="E186" s="241">
        <v>79</v>
      </c>
      <c r="F186" s="241">
        <v>9</v>
      </c>
      <c r="G186" s="279">
        <v>50</v>
      </c>
      <c r="I186" s="24"/>
    </row>
    <row r="187" spans="1:9" x14ac:dyDescent="0.25">
      <c r="A187" s="278">
        <v>16</v>
      </c>
      <c r="B187" s="183">
        <v>41</v>
      </c>
      <c r="C187" s="196">
        <v>6692.1999999999989</v>
      </c>
      <c r="D187" s="245">
        <v>76.047727272727258</v>
      </c>
      <c r="E187" s="241">
        <v>76</v>
      </c>
      <c r="F187" s="241">
        <v>12</v>
      </c>
      <c r="G187" s="279">
        <v>50</v>
      </c>
      <c r="I187" s="24"/>
    </row>
    <row r="188" spans="1:9" x14ac:dyDescent="0.25">
      <c r="A188" s="278">
        <v>17</v>
      </c>
      <c r="B188" s="183">
        <v>42</v>
      </c>
      <c r="C188" s="196">
        <v>6640.5</v>
      </c>
      <c r="D188" s="245">
        <v>75.460227272727266</v>
      </c>
      <c r="E188" s="241">
        <v>76</v>
      </c>
      <c r="F188" s="241">
        <v>12</v>
      </c>
      <c r="G188" s="279">
        <v>50</v>
      </c>
      <c r="I188" s="24"/>
    </row>
    <row r="189" spans="1:9" x14ac:dyDescent="0.25">
      <c r="A189" s="278">
        <v>18</v>
      </c>
      <c r="B189" s="183">
        <v>43</v>
      </c>
      <c r="C189" s="196">
        <v>6609</v>
      </c>
      <c r="D189" s="245">
        <v>75.102272727272734</v>
      </c>
      <c r="E189" s="241">
        <v>76</v>
      </c>
      <c r="F189" s="241">
        <v>12</v>
      </c>
      <c r="G189" s="279">
        <v>50</v>
      </c>
      <c r="I189" s="24"/>
    </row>
    <row r="190" spans="1:9" x14ac:dyDescent="0.25">
      <c r="A190" s="278">
        <v>19</v>
      </c>
      <c r="B190" s="183">
        <v>44</v>
      </c>
      <c r="C190" s="196">
        <v>6463.300000000002</v>
      </c>
      <c r="D190" s="245">
        <v>73.446590909090929</v>
      </c>
      <c r="E190" s="241">
        <v>76</v>
      </c>
      <c r="F190" s="241">
        <v>12</v>
      </c>
      <c r="G190" s="279">
        <v>50</v>
      </c>
      <c r="I190" s="24"/>
    </row>
    <row r="191" spans="1:9" x14ac:dyDescent="0.25">
      <c r="A191" s="278">
        <v>20</v>
      </c>
      <c r="B191" s="183">
        <v>45</v>
      </c>
      <c r="C191" s="196">
        <v>6502.3</v>
      </c>
      <c r="D191" s="245">
        <v>73.889772727272728</v>
      </c>
      <c r="E191" s="241">
        <v>74</v>
      </c>
      <c r="F191" s="241">
        <v>14</v>
      </c>
      <c r="G191" s="279">
        <v>50</v>
      </c>
      <c r="I191" s="24"/>
    </row>
    <row r="192" spans="1:9" x14ac:dyDescent="0.25">
      <c r="A192" s="278">
        <v>21</v>
      </c>
      <c r="B192" s="183">
        <v>46</v>
      </c>
      <c r="C192" s="196">
        <v>6474.3999999999987</v>
      </c>
      <c r="D192" s="245">
        <v>73.572727272727263</v>
      </c>
      <c r="E192" s="241">
        <v>74</v>
      </c>
      <c r="F192" s="241">
        <v>14</v>
      </c>
      <c r="G192" s="279">
        <v>50</v>
      </c>
      <c r="I192" s="24"/>
    </row>
    <row r="193" spans="1:9" x14ac:dyDescent="0.25">
      <c r="A193" s="278">
        <v>22</v>
      </c>
      <c r="B193" s="183">
        <v>47</v>
      </c>
      <c r="C193" s="196">
        <v>6429.7000000000007</v>
      </c>
      <c r="D193" s="245">
        <v>73.064772727272739</v>
      </c>
      <c r="E193" s="241">
        <v>73</v>
      </c>
      <c r="F193" s="241">
        <v>15</v>
      </c>
      <c r="G193" s="279">
        <v>107</v>
      </c>
      <c r="I193" s="24"/>
    </row>
    <row r="194" spans="1:9" x14ac:dyDescent="0.25">
      <c r="A194" s="278">
        <v>23</v>
      </c>
      <c r="B194" s="183">
        <v>48</v>
      </c>
      <c r="C194" s="196">
        <v>6370.4999999999991</v>
      </c>
      <c r="D194" s="245">
        <v>72.392045454545439</v>
      </c>
      <c r="E194" s="241">
        <v>73</v>
      </c>
      <c r="F194" s="241">
        <v>15</v>
      </c>
      <c r="G194" s="279">
        <v>100</v>
      </c>
      <c r="I194" s="24"/>
    </row>
    <row r="195" spans="1:9" x14ac:dyDescent="0.25">
      <c r="A195" s="278">
        <v>0</v>
      </c>
      <c r="B195" s="183">
        <v>49</v>
      </c>
      <c r="C195" s="196">
        <v>6213.3</v>
      </c>
      <c r="D195" s="245">
        <v>70.605681818181822</v>
      </c>
      <c r="E195" s="241">
        <v>68</v>
      </c>
      <c r="F195" s="241">
        <v>20</v>
      </c>
      <c r="G195" s="279">
        <v>150</v>
      </c>
      <c r="I195" s="24"/>
    </row>
    <row r="196" spans="1:9" x14ac:dyDescent="0.25">
      <c r="A196" s="278">
        <v>1</v>
      </c>
      <c r="B196" s="183">
        <v>50</v>
      </c>
      <c r="C196" s="196">
        <v>6216.9999999999991</v>
      </c>
      <c r="D196" s="245">
        <v>70.647727272727266</v>
      </c>
      <c r="E196" s="241">
        <v>69</v>
      </c>
      <c r="F196" s="241">
        <v>19</v>
      </c>
      <c r="G196" s="279">
        <v>50</v>
      </c>
      <c r="I196" s="24"/>
    </row>
    <row r="197" spans="1:9" x14ac:dyDescent="0.25">
      <c r="A197" s="278">
        <v>2</v>
      </c>
      <c r="B197" s="183">
        <v>51</v>
      </c>
      <c r="C197" s="196">
        <v>6026.2</v>
      </c>
      <c r="D197" s="245">
        <v>68.479545454545459</v>
      </c>
      <c r="E197" s="241">
        <v>67</v>
      </c>
      <c r="F197" s="241">
        <v>21</v>
      </c>
      <c r="G197" s="279">
        <v>20</v>
      </c>
      <c r="I197" s="24"/>
    </row>
    <row r="198" spans="1:9" x14ac:dyDescent="0.25">
      <c r="A198" s="278">
        <v>3</v>
      </c>
      <c r="B198" s="183">
        <v>52</v>
      </c>
      <c r="C198" s="196">
        <v>6040.0999999999995</v>
      </c>
      <c r="D198" s="245">
        <v>68.637499999999989</v>
      </c>
      <c r="E198" s="241">
        <v>64</v>
      </c>
      <c r="F198" s="241">
        <v>24</v>
      </c>
      <c r="G198" s="279">
        <v>50</v>
      </c>
      <c r="I198" s="24"/>
    </row>
    <row r="199" spans="1:9" x14ac:dyDescent="0.25">
      <c r="A199" s="278">
        <v>4</v>
      </c>
      <c r="B199" s="183">
        <v>53</v>
      </c>
      <c r="C199" s="196">
        <v>6006.9999999999982</v>
      </c>
      <c r="D199" s="245">
        <v>68.261363636363612</v>
      </c>
      <c r="E199" s="241">
        <v>64</v>
      </c>
      <c r="F199" s="241">
        <v>24</v>
      </c>
      <c r="G199" s="279">
        <v>50</v>
      </c>
      <c r="I199" s="24"/>
    </row>
    <row r="200" spans="1:9" x14ac:dyDescent="0.25">
      <c r="A200" s="278">
        <v>5</v>
      </c>
      <c r="B200" s="183">
        <v>54</v>
      </c>
      <c r="C200" s="196">
        <v>6110.9000000000015</v>
      </c>
      <c r="D200" s="245">
        <v>69.442045454545465</v>
      </c>
      <c r="E200" s="241">
        <v>68</v>
      </c>
      <c r="F200" s="241">
        <v>20</v>
      </c>
      <c r="G200" s="279">
        <v>50</v>
      </c>
      <c r="I200" s="24"/>
    </row>
    <row r="201" spans="1:9" x14ac:dyDescent="0.25">
      <c r="A201" s="278">
        <v>6</v>
      </c>
      <c r="B201" s="183">
        <v>55</v>
      </c>
      <c r="C201" s="196">
        <v>6390.1000000000013</v>
      </c>
      <c r="D201" s="245">
        <v>72.614772727272737</v>
      </c>
      <c r="E201" s="241">
        <v>76</v>
      </c>
      <c r="F201" s="241">
        <v>12</v>
      </c>
      <c r="G201" s="279">
        <v>100</v>
      </c>
      <c r="I201" s="24"/>
    </row>
    <row r="202" spans="1:9" x14ac:dyDescent="0.25">
      <c r="A202" s="278">
        <v>7</v>
      </c>
      <c r="B202" s="183">
        <v>56</v>
      </c>
      <c r="C202" s="196">
        <v>6651.3000000000011</v>
      </c>
      <c r="D202" s="245">
        <v>75.582954545454555</v>
      </c>
      <c r="E202" s="241">
        <v>77</v>
      </c>
      <c r="F202" s="241">
        <v>11</v>
      </c>
      <c r="G202" s="279">
        <v>125</v>
      </c>
      <c r="I202" s="24"/>
    </row>
    <row r="203" spans="1:9" x14ac:dyDescent="0.25">
      <c r="A203" s="278">
        <v>8</v>
      </c>
      <c r="B203" s="183">
        <v>57</v>
      </c>
      <c r="C203" s="196">
        <v>6805.5000000000009</v>
      </c>
      <c r="D203" s="245">
        <v>77.33522727272728</v>
      </c>
      <c r="E203" s="241">
        <v>76</v>
      </c>
      <c r="F203" s="241">
        <v>12</v>
      </c>
      <c r="G203" s="279">
        <v>125</v>
      </c>
      <c r="I203" s="24"/>
    </row>
    <row r="204" spans="1:9" x14ac:dyDescent="0.25">
      <c r="A204" s="278">
        <v>9</v>
      </c>
      <c r="B204" s="183">
        <v>58</v>
      </c>
      <c r="C204" s="196">
        <v>6751.3</v>
      </c>
      <c r="D204" s="245">
        <v>76.719318181818181</v>
      </c>
      <c r="E204" s="241">
        <v>77</v>
      </c>
      <c r="F204" s="241">
        <v>11</v>
      </c>
      <c r="G204" s="279">
        <v>150</v>
      </c>
      <c r="I204" s="24"/>
    </row>
    <row r="205" spans="1:9" x14ac:dyDescent="0.25">
      <c r="A205" s="278">
        <v>10</v>
      </c>
      <c r="B205" s="183">
        <v>59</v>
      </c>
      <c r="C205" s="196">
        <v>6688.4000000000005</v>
      </c>
      <c r="D205" s="245">
        <v>76.004545454545465</v>
      </c>
      <c r="E205" s="241">
        <v>74</v>
      </c>
      <c r="F205" s="241">
        <v>14</v>
      </c>
      <c r="G205" s="279">
        <v>150</v>
      </c>
      <c r="I205" s="24"/>
    </row>
    <row r="206" spans="1:9" x14ac:dyDescent="0.25">
      <c r="A206" s="278">
        <v>11</v>
      </c>
      <c r="B206" s="183">
        <v>60</v>
      </c>
      <c r="C206" s="196">
        <v>6593.6999999999989</v>
      </c>
      <c r="D206" s="245">
        <v>74.928409090909085</v>
      </c>
      <c r="E206" s="241">
        <v>75</v>
      </c>
      <c r="F206" s="241">
        <v>13</v>
      </c>
      <c r="G206" s="279">
        <v>50</v>
      </c>
      <c r="I206" s="24"/>
    </row>
    <row r="207" spans="1:9" x14ac:dyDescent="0.25">
      <c r="A207" s="278">
        <v>12</v>
      </c>
      <c r="B207" s="183">
        <v>61</v>
      </c>
      <c r="C207" s="196">
        <v>6693.7000000000007</v>
      </c>
      <c r="D207" s="245">
        <v>76.064772727272739</v>
      </c>
      <c r="E207" s="241">
        <v>74</v>
      </c>
      <c r="F207" s="241">
        <v>14</v>
      </c>
      <c r="G207" s="279">
        <v>75</v>
      </c>
      <c r="I207" s="24"/>
    </row>
    <row r="208" spans="1:9" x14ac:dyDescent="0.25">
      <c r="A208" s="278">
        <v>13</v>
      </c>
      <c r="B208" s="183">
        <v>62</v>
      </c>
      <c r="C208" s="196">
        <v>6830.1000000000013</v>
      </c>
      <c r="D208" s="245">
        <v>77.614772727272737</v>
      </c>
      <c r="E208" s="241">
        <v>78</v>
      </c>
      <c r="F208" s="241">
        <v>10</v>
      </c>
      <c r="G208" s="279">
        <v>75</v>
      </c>
      <c r="I208" s="24"/>
    </row>
    <row r="209" spans="1:40" x14ac:dyDescent="0.25">
      <c r="A209" s="278">
        <v>14</v>
      </c>
      <c r="B209" s="183">
        <v>63</v>
      </c>
      <c r="C209" s="196">
        <v>5981.2000000000007</v>
      </c>
      <c r="D209" s="245">
        <v>67.968181818181833</v>
      </c>
      <c r="E209" s="241">
        <v>75</v>
      </c>
      <c r="F209" s="241">
        <v>13</v>
      </c>
      <c r="G209" s="279">
        <v>75</v>
      </c>
      <c r="I209" s="24"/>
    </row>
    <row r="210" spans="1:40" x14ac:dyDescent="0.25">
      <c r="A210" s="278">
        <v>15</v>
      </c>
      <c r="B210" s="183">
        <v>64</v>
      </c>
      <c r="C210" s="196">
        <v>5883.5999999999995</v>
      </c>
      <c r="D210" s="245">
        <v>66.859090909090909</v>
      </c>
      <c r="E210" s="241">
        <v>75</v>
      </c>
      <c r="F210" s="241">
        <v>13</v>
      </c>
      <c r="G210" s="279">
        <v>67</v>
      </c>
      <c r="I210" s="24"/>
    </row>
    <row r="211" spans="1:40" x14ac:dyDescent="0.25">
      <c r="A211" s="278">
        <v>16</v>
      </c>
      <c r="B211" s="183">
        <v>65</v>
      </c>
      <c r="C211" s="196">
        <v>5836.5000000000009</v>
      </c>
      <c r="D211" s="245">
        <v>66.32386363636364</v>
      </c>
      <c r="E211" s="241">
        <v>74</v>
      </c>
      <c r="F211" s="241">
        <v>14</v>
      </c>
      <c r="G211" s="279">
        <v>75</v>
      </c>
      <c r="I211" s="24"/>
      <c r="AF211" s="24"/>
      <c r="AG211" s="24"/>
      <c r="AH211" s="24"/>
      <c r="AI211" s="24"/>
      <c r="AJ211" s="24"/>
      <c r="AK211" s="24"/>
      <c r="AL211" s="24"/>
      <c r="AM211" s="24"/>
      <c r="AN211" s="24"/>
    </row>
    <row r="212" spans="1:40" x14ac:dyDescent="0.25">
      <c r="A212" s="278">
        <v>17</v>
      </c>
      <c r="B212" s="183">
        <v>66</v>
      </c>
      <c r="C212" s="196">
        <v>5528.4</v>
      </c>
      <c r="D212" s="245">
        <v>62.822727272727271</v>
      </c>
      <c r="E212" s="241">
        <v>71</v>
      </c>
      <c r="F212" s="241">
        <v>17</v>
      </c>
      <c r="G212" s="279">
        <v>215</v>
      </c>
      <c r="I212" s="24"/>
      <c r="AF212" s="24"/>
      <c r="AG212" s="24"/>
      <c r="AH212" s="24"/>
      <c r="AI212" s="24"/>
      <c r="AJ212" s="24"/>
      <c r="AK212" s="24"/>
      <c r="AL212" s="24"/>
      <c r="AM212" s="24"/>
      <c r="AN212" s="24"/>
    </row>
    <row r="213" spans="1:40" x14ac:dyDescent="0.25">
      <c r="A213" s="278">
        <v>18</v>
      </c>
      <c r="B213" s="183">
        <v>67</v>
      </c>
      <c r="C213" s="196">
        <v>5598.5</v>
      </c>
      <c r="D213" s="245">
        <v>63.61931818181818</v>
      </c>
      <c r="E213" s="241">
        <v>70</v>
      </c>
      <c r="F213" s="241">
        <v>18</v>
      </c>
      <c r="G213" s="279">
        <v>300</v>
      </c>
      <c r="I213" s="24"/>
      <c r="AF213" s="24"/>
      <c r="AG213" s="24"/>
      <c r="AH213" s="24"/>
      <c r="AI213" s="24"/>
      <c r="AJ213" s="24"/>
      <c r="AK213" s="24"/>
      <c r="AL213" s="24"/>
      <c r="AM213" s="24"/>
      <c r="AN213" s="24"/>
    </row>
    <row r="214" spans="1:40" x14ac:dyDescent="0.25">
      <c r="A214" s="278">
        <v>19</v>
      </c>
      <c r="B214" s="183">
        <v>68</v>
      </c>
      <c r="C214" s="196">
        <v>5436.5000000000009</v>
      </c>
      <c r="D214" s="245">
        <v>61.778409090909101</v>
      </c>
      <c r="E214" s="241">
        <v>69</v>
      </c>
      <c r="F214" s="241">
        <v>19</v>
      </c>
      <c r="G214" s="279">
        <v>350</v>
      </c>
      <c r="I214" s="24"/>
      <c r="AF214" s="24"/>
      <c r="AG214" s="24"/>
      <c r="AH214" s="24"/>
      <c r="AI214" s="24"/>
      <c r="AJ214" s="24"/>
      <c r="AK214" s="24"/>
      <c r="AL214" s="24"/>
      <c r="AM214" s="24"/>
      <c r="AN214" s="24"/>
    </row>
    <row r="215" spans="1:40" x14ac:dyDescent="0.25">
      <c r="A215" s="278">
        <v>20</v>
      </c>
      <c r="B215" s="183">
        <v>69</v>
      </c>
      <c r="C215" s="196">
        <v>5559.6000000000022</v>
      </c>
      <c r="D215" s="245">
        <v>63.177272727272751</v>
      </c>
      <c r="E215" s="241">
        <v>69</v>
      </c>
      <c r="F215" s="241">
        <v>19</v>
      </c>
      <c r="G215" s="279">
        <v>350</v>
      </c>
      <c r="I215" s="24"/>
      <c r="AF215" s="24"/>
      <c r="AG215" s="24"/>
      <c r="AH215" s="24"/>
      <c r="AI215" s="24"/>
      <c r="AJ215" s="24"/>
      <c r="AK215" s="24"/>
      <c r="AL215" s="24"/>
      <c r="AM215" s="24"/>
      <c r="AN215" s="24"/>
    </row>
    <row r="216" spans="1:40" x14ac:dyDescent="0.25">
      <c r="A216" s="278">
        <v>21</v>
      </c>
      <c r="B216" s="183">
        <v>70</v>
      </c>
      <c r="C216" s="196">
        <v>5935.4000000000024</v>
      </c>
      <c r="D216" s="245">
        <v>67.447727272727306</v>
      </c>
      <c r="E216" s="241">
        <v>70</v>
      </c>
      <c r="F216" s="241">
        <v>18</v>
      </c>
      <c r="G216" s="279">
        <v>350</v>
      </c>
      <c r="I216" s="24"/>
    </row>
    <row r="217" spans="1:40" x14ac:dyDescent="0.25">
      <c r="A217" s="278">
        <v>22</v>
      </c>
      <c r="B217" s="183">
        <v>71</v>
      </c>
      <c r="C217" s="196">
        <v>6120.0999999999995</v>
      </c>
      <c r="D217" s="245">
        <v>69.546590909090909</v>
      </c>
      <c r="E217" s="241">
        <v>73</v>
      </c>
      <c r="F217" s="241">
        <v>15</v>
      </c>
      <c r="G217" s="279">
        <v>350</v>
      </c>
      <c r="I217" s="24"/>
    </row>
    <row r="218" spans="1:40" x14ac:dyDescent="0.25">
      <c r="A218" s="278">
        <v>23</v>
      </c>
      <c r="B218" s="183">
        <v>72</v>
      </c>
      <c r="C218" s="196">
        <v>5737.7000000000016</v>
      </c>
      <c r="D218" s="245">
        <v>65.20113636363638</v>
      </c>
      <c r="E218" s="241">
        <v>69</v>
      </c>
      <c r="F218" s="241">
        <v>19</v>
      </c>
      <c r="G218" s="279">
        <v>50</v>
      </c>
      <c r="I218" s="24"/>
    </row>
    <row r="219" spans="1:40" x14ac:dyDescent="0.25">
      <c r="A219" s="278">
        <v>0</v>
      </c>
      <c r="B219" s="183">
        <v>73</v>
      </c>
      <c r="C219" s="196">
        <v>5267.1999999999971</v>
      </c>
      <c r="D219" s="245">
        <v>59.854545454545423</v>
      </c>
      <c r="E219" s="241">
        <v>64</v>
      </c>
      <c r="F219" s="241">
        <v>24</v>
      </c>
      <c r="G219" s="279">
        <v>50</v>
      </c>
      <c r="I219" s="24"/>
    </row>
    <row r="220" spans="1:40" x14ac:dyDescent="0.25">
      <c r="A220" s="278">
        <v>1</v>
      </c>
      <c r="B220" s="183">
        <v>74</v>
      </c>
      <c r="C220" s="196">
        <v>5341.4</v>
      </c>
      <c r="D220" s="245">
        <v>60.697727272727271</v>
      </c>
      <c r="E220" s="241">
        <v>63</v>
      </c>
      <c r="F220" s="241">
        <v>25</v>
      </c>
      <c r="G220" s="279">
        <v>50</v>
      </c>
      <c r="I220" s="24"/>
    </row>
    <row r="221" spans="1:40" x14ac:dyDescent="0.25">
      <c r="A221" s="278">
        <v>2</v>
      </c>
      <c r="B221" s="183">
        <v>75</v>
      </c>
      <c r="C221" s="196">
        <v>5302.4000000000015</v>
      </c>
      <c r="D221" s="245">
        <v>60.254545454545472</v>
      </c>
      <c r="E221" s="241">
        <v>64</v>
      </c>
      <c r="F221" s="241">
        <v>24</v>
      </c>
      <c r="G221" s="279">
        <v>50</v>
      </c>
      <c r="I221" s="24"/>
    </row>
    <row r="222" spans="1:40" x14ac:dyDescent="0.25">
      <c r="A222" s="278">
        <v>3</v>
      </c>
      <c r="B222" s="183">
        <v>76</v>
      </c>
      <c r="C222" s="196">
        <v>5266.9000000000024</v>
      </c>
      <c r="D222" s="245">
        <v>59.851136363636392</v>
      </c>
      <c r="E222" s="241">
        <v>62</v>
      </c>
      <c r="F222" s="241">
        <v>26</v>
      </c>
      <c r="G222" s="279">
        <v>75</v>
      </c>
      <c r="I222" s="24"/>
    </row>
    <row r="223" spans="1:40" x14ac:dyDescent="0.25">
      <c r="A223" s="278">
        <v>4</v>
      </c>
      <c r="B223" s="183">
        <v>77</v>
      </c>
      <c r="C223" s="196">
        <v>5310.4000000000005</v>
      </c>
      <c r="D223" s="245">
        <v>60.345454545454551</v>
      </c>
      <c r="E223" s="241">
        <v>63</v>
      </c>
      <c r="F223" s="241">
        <v>25</v>
      </c>
      <c r="G223" s="279">
        <v>75</v>
      </c>
      <c r="I223" s="24"/>
    </row>
    <row r="224" spans="1:40" x14ac:dyDescent="0.25">
      <c r="A224" s="278">
        <v>5</v>
      </c>
      <c r="B224" s="183">
        <v>78</v>
      </c>
      <c r="C224" s="196">
        <v>5692.0000000000009</v>
      </c>
      <c r="D224" s="245">
        <v>64.681818181818187</v>
      </c>
      <c r="E224" s="241">
        <v>69</v>
      </c>
      <c r="F224" s="241">
        <v>19</v>
      </c>
      <c r="G224" s="279">
        <v>75</v>
      </c>
      <c r="I224" s="24"/>
    </row>
    <row r="225" spans="1:9" x14ac:dyDescent="0.25">
      <c r="A225" s="278">
        <v>6</v>
      </c>
      <c r="B225" s="183">
        <v>79</v>
      </c>
      <c r="C225" s="196">
        <v>5659.300000000002</v>
      </c>
      <c r="D225" s="245">
        <v>64.310227272727289</v>
      </c>
      <c r="E225" s="241">
        <v>72</v>
      </c>
      <c r="F225" s="241">
        <v>16</v>
      </c>
      <c r="G225" s="279">
        <v>75</v>
      </c>
      <c r="I225" s="24"/>
    </row>
    <row r="226" spans="1:9" x14ac:dyDescent="0.25">
      <c r="A226" s="278">
        <v>7</v>
      </c>
      <c r="B226" s="183">
        <v>80</v>
      </c>
      <c r="C226" s="196">
        <v>6403.2</v>
      </c>
      <c r="D226" s="245">
        <v>72.763636363636365</v>
      </c>
      <c r="E226" s="241">
        <v>75</v>
      </c>
      <c r="F226" s="241">
        <v>13</v>
      </c>
      <c r="G226" s="279">
        <v>100</v>
      </c>
      <c r="I226" s="24"/>
    </row>
    <row r="227" spans="1:9" x14ac:dyDescent="0.25">
      <c r="A227" s="278">
        <v>8</v>
      </c>
      <c r="B227" s="183">
        <v>81</v>
      </c>
      <c r="C227" s="196">
        <v>5512.9999999999991</v>
      </c>
      <c r="D227" s="245">
        <v>62.647727272727259</v>
      </c>
      <c r="E227" s="241">
        <v>71</v>
      </c>
      <c r="F227" s="241">
        <v>17</v>
      </c>
      <c r="G227" s="279">
        <v>200</v>
      </c>
      <c r="I227" s="24"/>
    </row>
    <row r="228" spans="1:9" x14ac:dyDescent="0.25">
      <c r="A228" s="278">
        <v>9</v>
      </c>
      <c r="B228" s="183">
        <v>82</v>
      </c>
      <c r="C228" s="196">
        <v>6360.9999999999991</v>
      </c>
      <c r="D228" s="245">
        <v>72.284090909090892</v>
      </c>
      <c r="E228" s="241">
        <v>75</v>
      </c>
      <c r="F228" s="241">
        <v>13</v>
      </c>
      <c r="G228" s="279">
        <v>300</v>
      </c>
      <c r="I228" s="24"/>
    </row>
    <row r="229" spans="1:9" x14ac:dyDescent="0.25">
      <c r="A229" s="278">
        <v>10</v>
      </c>
      <c r="B229" s="183">
        <v>83</v>
      </c>
      <c r="C229" s="196">
        <v>6204</v>
      </c>
      <c r="D229" s="245">
        <v>70.5</v>
      </c>
      <c r="E229" s="241">
        <v>71</v>
      </c>
      <c r="F229" s="241">
        <v>17</v>
      </c>
      <c r="G229" s="279">
        <v>50</v>
      </c>
      <c r="I229" s="24"/>
    </row>
    <row r="230" spans="1:9" x14ac:dyDescent="0.25">
      <c r="A230" s="278">
        <v>11</v>
      </c>
      <c r="B230" s="183">
        <v>84</v>
      </c>
      <c r="C230" s="196">
        <v>6363.1</v>
      </c>
      <c r="D230" s="245">
        <v>72.30795454545455</v>
      </c>
      <c r="E230" s="241">
        <v>71</v>
      </c>
      <c r="F230" s="241">
        <v>17</v>
      </c>
      <c r="G230" s="279">
        <v>200</v>
      </c>
      <c r="I230" s="24"/>
    </row>
    <row r="231" spans="1:9" x14ac:dyDescent="0.25">
      <c r="A231" s="278">
        <v>12</v>
      </c>
      <c r="B231" s="183">
        <v>85</v>
      </c>
      <c r="C231" s="196">
        <v>6557.0000000000009</v>
      </c>
      <c r="D231" s="245">
        <v>74.51136363636364</v>
      </c>
      <c r="E231" s="241">
        <v>74</v>
      </c>
      <c r="F231" s="241">
        <v>14</v>
      </c>
      <c r="G231" s="279">
        <v>200</v>
      </c>
      <c r="I231" s="24"/>
    </row>
    <row r="232" spans="1:9" x14ac:dyDescent="0.25">
      <c r="A232" s="278">
        <v>13</v>
      </c>
      <c r="B232" s="183">
        <v>86</v>
      </c>
      <c r="C232" s="196">
        <v>6112.2</v>
      </c>
      <c r="D232" s="245">
        <v>69.456818181818178</v>
      </c>
      <c r="E232" s="241">
        <v>71</v>
      </c>
      <c r="F232" s="241">
        <v>17</v>
      </c>
      <c r="G232" s="279">
        <v>250</v>
      </c>
      <c r="I232" s="24"/>
    </row>
    <row r="233" spans="1:9" x14ac:dyDescent="0.25">
      <c r="A233" s="278">
        <v>14</v>
      </c>
      <c r="B233" s="183">
        <v>87</v>
      </c>
      <c r="C233" s="196">
        <v>6061.1000000000022</v>
      </c>
      <c r="D233" s="245">
        <v>68.876136363636391</v>
      </c>
      <c r="E233" s="241">
        <v>71</v>
      </c>
      <c r="F233" s="241">
        <v>17</v>
      </c>
      <c r="G233" s="279">
        <v>300</v>
      </c>
      <c r="I233" s="24"/>
    </row>
    <row r="234" spans="1:9" x14ac:dyDescent="0.25">
      <c r="A234" s="278">
        <v>15</v>
      </c>
      <c r="B234" s="183">
        <v>88</v>
      </c>
      <c r="C234" s="196">
        <v>6652.9</v>
      </c>
      <c r="D234" s="245">
        <v>75.601136363636357</v>
      </c>
      <c r="E234" s="241">
        <v>75</v>
      </c>
      <c r="F234" s="241">
        <v>13</v>
      </c>
      <c r="G234" s="279">
        <v>300</v>
      </c>
      <c r="I234" s="24"/>
    </row>
    <row r="235" spans="1:9" x14ac:dyDescent="0.25">
      <c r="A235" s="278">
        <v>16</v>
      </c>
      <c r="B235" s="183">
        <v>89</v>
      </c>
      <c r="C235" s="196">
        <v>6508.9000000000005</v>
      </c>
      <c r="D235" s="245">
        <v>73.964772727272731</v>
      </c>
      <c r="E235" s="241">
        <v>72</v>
      </c>
      <c r="F235" s="241">
        <v>16</v>
      </c>
      <c r="G235" s="279"/>
      <c r="H235" s="24"/>
      <c r="I235" s="24"/>
    </row>
    <row r="236" spans="1:9" x14ac:dyDescent="0.25">
      <c r="A236" s="278">
        <v>17</v>
      </c>
      <c r="B236" s="183">
        <v>90</v>
      </c>
      <c r="C236" s="196">
        <v>6514.7000000000025</v>
      </c>
      <c r="D236" s="245">
        <v>74.030681818181847</v>
      </c>
      <c r="E236" s="241">
        <v>73</v>
      </c>
      <c r="F236" s="241">
        <v>15</v>
      </c>
      <c r="G236" s="279"/>
      <c r="H236" s="24"/>
      <c r="I236" s="24"/>
    </row>
    <row r="237" spans="1:9" x14ac:dyDescent="0.25">
      <c r="A237" s="278">
        <v>18</v>
      </c>
      <c r="B237" s="183">
        <v>91</v>
      </c>
      <c r="C237" s="196">
        <v>6532.3</v>
      </c>
      <c r="D237" s="245">
        <v>74.230681818181822</v>
      </c>
      <c r="E237" s="241">
        <v>73</v>
      </c>
      <c r="F237" s="241">
        <v>15</v>
      </c>
      <c r="G237" s="279"/>
      <c r="H237" s="24"/>
      <c r="I237" s="24"/>
    </row>
    <row r="238" spans="1:9" x14ac:dyDescent="0.25">
      <c r="A238" s="278">
        <v>19</v>
      </c>
      <c r="B238" s="183">
        <v>92</v>
      </c>
      <c r="C238" s="196">
        <v>6371.2</v>
      </c>
      <c r="D238" s="245">
        <v>72.399999999999991</v>
      </c>
      <c r="E238" s="241">
        <v>73</v>
      </c>
      <c r="F238" s="241">
        <v>15</v>
      </c>
      <c r="G238" s="279"/>
      <c r="H238" s="24"/>
      <c r="I238" s="24"/>
    </row>
    <row r="239" spans="1:9" x14ac:dyDescent="0.25">
      <c r="A239" s="278">
        <v>20</v>
      </c>
      <c r="B239" s="183">
        <v>93</v>
      </c>
      <c r="C239" s="196">
        <v>6328.0999999999995</v>
      </c>
      <c r="D239" s="245">
        <v>71.910227272727269</v>
      </c>
      <c r="E239" s="241">
        <v>71</v>
      </c>
      <c r="F239" s="241">
        <v>17</v>
      </c>
      <c r="G239" s="279"/>
      <c r="H239" s="24"/>
      <c r="I239" s="24"/>
    </row>
    <row r="240" spans="1:9" x14ac:dyDescent="0.25">
      <c r="A240" s="278">
        <v>21</v>
      </c>
      <c r="B240" s="183">
        <v>94</v>
      </c>
      <c r="C240" s="196">
        <v>6273.3000000000011</v>
      </c>
      <c r="D240" s="245">
        <v>71.287500000000009</v>
      </c>
      <c r="E240" s="241">
        <v>72</v>
      </c>
      <c r="F240" s="241">
        <v>16</v>
      </c>
      <c r="G240" s="279"/>
      <c r="H240" s="24"/>
      <c r="I240" s="24"/>
    </row>
    <row r="241" spans="1:9" x14ac:dyDescent="0.25">
      <c r="A241" s="278">
        <v>22</v>
      </c>
      <c r="B241" s="183">
        <v>95</v>
      </c>
      <c r="C241" s="196">
        <v>6161.6</v>
      </c>
      <c r="D241" s="245">
        <v>70.018181818181816</v>
      </c>
      <c r="E241" s="241">
        <v>70</v>
      </c>
      <c r="F241" s="241">
        <v>18</v>
      </c>
      <c r="G241" s="279"/>
      <c r="H241" s="24"/>
      <c r="I241" s="24"/>
    </row>
    <row r="242" spans="1:9" x14ac:dyDescent="0.25">
      <c r="A242" s="278">
        <v>23</v>
      </c>
      <c r="B242" s="183">
        <v>96</v>
      </c>
      <c r="C242" s="196">
        <v>5807</v>
      </c>
      <c r="D242" s="245">
        <v>65.98863636363636</v>
      </c>
      <c r="E242" s="241">
        <v>68</v>
      </c>
      <c r="F242" s="241">
        <v>20</v>
      </c>
      <c r="G242" s="279"/>
      <c r="H242" s="24"/>
      <c r="I242" s="24"/>
    </row>
    <row r="243" spans="1:9" x14ac:dyDescent="0.25">
      <c r="A243" s="278">
        <v>0</v>
      </c>
      <c r="B243" s="183">
        <v>97</v>
      </c>
      <c r="C243" s="196">
        <v>5261.0999999999976</v>
      </c>
      <c r="D243" s="245">
        <v>59.785227272727248</v>
      </c>
      <c r="E243" s="241">
        <v>62</v>
      </c>
      <c r="F243" s="241">
        <v>26</v>
      </c>
      <c r="G243" s="279"/>
      <c r="H243" s="24"/>
      <c r="I243" s="24"/>
    </row>
    <row r="244" spans="1:9" x14ac:dyDescent="0.25">
      <c r="A244" s="278">
        <v>1</v>
      </c>
      <c r="B244" s="183">
        <v>98</v>
      </c>
      <c r="C244" s="196">
        <v>5420</v>
      </c>
      <c r="D244" s="245">
        <v>61.590909090909093</v>
      </c>
      <c r="E244" s="241">
        <v>63</v>
      </c>
      <c r="F244" s="241">
        <v>25</v>
      </c>
      <c r="G244" s="279"/>
      <c r="H244" s="24"/>
      <c r="I244" s="24"/>
    </row>
    <row r="245" spans="1:9" x14ac:dyDescent="0.25">
      <c r="A245" s="278">
        <v>2</v>
      </c>
      <c r="B245" s="183">
        <v>99</v>
      </c>
      <c r="C245" s="196">
        <v>5251.5</v>
      </c>
      <c r="D245" s="245">
        <v>59.676136363636367</v>
      </c>
      <c r="E245" s="241">
        <v>62</v>
      </c>
      <c r="F245" s="241">
        <v>26</v>
      </c>
      <c r="G245" s="279"/>
      <c r="H245" s="24"/>
      <c r="I245" s="24"/>
    </row>
    <row r="246" spans="1:9" x14ac:dyDescent="0.25">
      <c r="A246" s="278">
        <v>3</v>
      </c>
      <c r="B246" s="183">
        <v>100</v>
      </c>
      <c r="C246" s="196">
        <v>5084.7999999999993</v>
      </c>
      <c r="D246" s="245">
        <v>57.781818181818174</v>
      </c>
      <c r="E246" s="241">
        <v>58</v>
      </c>
      <c r="F246" s="241">
        <v>30</v>
      </c>
      <c r="G246" s="279"/>
      <c r="H246" s="24"/>
      <c r="I246" s="24"/>
    </row>
    <row r="247" spans="1:9" x14ac:dyDescent="0.25">
      <c r="A247" s="278">
        <v>4</v>
      </c>
      <c r="B247" s="183">
        <v>101</v>
      </c>
      <c r="C247" s="196">
        <v>5130.2000000000007</v>
      </c>
      <c r="D247" s="245">
        <v>58.297727272727279</v>
      </c>
      <c r="E247" s="241">
        <v>59</v>
      </c>
      <c r="F247" s="241">
        <v>29</v>
      </c>
      <c r="G247" s="279"/>
      <c r="H247" s="24"/>
      <c r="I247" s="24"/>
    </row>
    <row r="248" spans="1:9" x14ac:dyDescent="0.25">
      <c r="A248" s="278">
        <v>5</v>
      </c>
      <c r="B248" s="183">
        <v>102</v>
      </c>
      <c r="C248" s="196">
        <v>5697.5999999999985</v>
      </c>
      <c r="D248" s="245">
        <v>64.745454545454535</v>
      </c>
      <c r="E248" s="241">
        <v>67</v>
      </c>
      <c r="F248" s="241">
        <v>21</v>
      </c>
      <c r="G248" s="279"/>
      <c r="H248" s="24"/>
      <c r="I248" s="24"/>
    </row>
    <row r="249" spans="1:9" x14ac:dyDescent="0.25">
      <c r="A249" s="278">
        <v>6</v>
      </c>
      <c r="B249" s="183">
        <v>103</v>
      </c>
      <c r="C249" s="196">
        <v>6155.7999999999993</v>
      </c>
      <c r="D249" s="245">
        <v>69.952272727272714</v>
      </c>
      <c r="E249" s="241">
        <v>71</v>
      </c>
      <c r="F249" s="241">
        <v>17</v>
      </c>
      <c r="G249" s="279"/>
      <c r="H249" s="24"/>
      <c r="I249" s="24"/>
    </row>
    <row r="250" spans="1:9" x14ac:dyDescent="0.25">
      <c r="A250" s="278">
        <v>7</v>
      </c>
      <c r="B250" s="183">
        <v>104</v>
      </c>
      <c r="C250" s="196">
        <v>6508.9000000000005</v>
      </c>
      <c r="D250" s="245">
        <v>73.964772727272731</v>
      </c>
      <c r="E250" s="241">
        <v>73</v>
      </c>
      <c r="F250" s="241">
        <v>15</v>
      </c>
      <c r="G250" s="279"/>
      <c r="H250" s="24"/>
      <c r="I250" s="24"/>
    </row>
    <row r="251" spans="1:9" x14ac:dyDescent="0.25">
      <c r="A251" s="278">
        <v>8</v>
      </c>
      <c r="B251" s="183">
        <v>105</v>
      </c>
      <c r="C251" s="196">
        <v>6574.3000000000011</v>
      </c>
      <c r="D251" s="245">
        <v>74.707954545454555</v>
      </c>
      <c r="E251" s="241">
        <v>75</v>
      </c>
      <c r="F251" s="241">
        <v>13</v>
      </c>
      <c r="G251" s="279"/>
      <c r="H251" s="24"/>
      <c r="I251" s="24"/>
    </row>
    <row r="252" spans="1:9" x14ac:dyDescent="0.25">
      <c r="A252" s="278">
        <v>9</v>
      </c>
      <c r="B252" s="183">
        <v>106</v>
      </c>
      <c r="C252" s="196">
        <v>5875.1</v>
      </c>
      <c r="D252" s="245">
        <v>66.762500000000003</v>
      </c>
      <c r="E252" s="241">
        <v>73</v>
      </c>
      <c r="F252" s="241">
        <v>15</v>
      </c>
      <c r="G252" s="279"/>
      <c r="H252" s="24"/>
      <c r="I252" s="24"/>
    </row>
    <row r="253" spans="1:9" x14ac:dyDescent="0.25">
      <c r="A253" s="278">
        <v>10</v>
      </c>
      <c r="B253" s="183">
        <v>107</v>
      </c>
      <c r="C253" s="196">
        <v>5980.5000000000009</v>
      </c>
      <c r="D253" s="245">
        <v>67.96022727272728</v>
      </c>
      <c r="E253" s="241">
        <v>73</v>
      </c>
      <c r="F253" s="241">
        <v>15</v>
      </c>
      <c r="G253" s="279"/>
      <c r="H253" s="24"/>
      <c r="I253" s="24"/>
    </row>
    <row r="254" spans="1:9" x14ac:dyDescent="0.25">
      <c r="A254" s="278">
        <v>11</v>
      </c>
      <c r="B254" s="183">
        <v>108</v>
      </c>
      <c r="C254" s="196">
        <v>5814.7</v>
      </c>
      <c r="D254" s="245">
        <v>66.076136363636365</v>
      </c>
      <c r="E254" s="241">
        <v>71</v>
      </c>
      <c r="F254" s="241">
        <v>17</v>
      </c>
      <c r="G254" s="279"/>
      <c r="H254" s="24"/>
      <c r="I254" s="24"/>
    </row>
    <row r="255" spans="1:9" x14ac:dyDescent="0.25">
      <c r="A255" s="278">
        <v>12</v>
      </c>
      <c r="B255" s="183">
        <v>109</v>
      </c>
      <c r="C255" s="196">
        <v>6420.3999999999978</v>
      </c>
      <c r="D255" s="245">
        <v>72.959090909090889</v>
      </c>
      <c r="E255" s="241">
        <v>74</v>
      </c>
      <c r="F255" s="241">
        <v>14</v>
      </c>
      <c r="G255" s="279"/>
      <c r="H255" s="24"/>
      <c r="I255" s="24"/>
    </row>
    <row r="256" spans="1:9" x14ac:dyDescent="0.25">
      <c r="A256" s="278">
        <v>13</v>
      </c>
      <c r="B256" s="183">
        <v>110</v>
      </c>
      <c r="C256" s="196">
        <v>5860.8000000000011</v>
      </c>
      <c r="D256" s="245">
        <v>66.600000000000009</v>
      </c>
      <c r="E256" s="241">
        <v>71</v>
      </c>
      <c r="F256" s="241">
        <v>17</v>
      </c>
      <c r="G256" s="279"/>
      <c r="H256" s="24"/>
      <c r="I256" s="24"/>
    </row>
    <row r="257" spans="1:9" x14ac:dyDescent="0.25">
      <c r="A257" s="278">
        <v>14</v>
      </c>
      <c r="B257" s="183">
        <v>111</v>
      </c>
      <c r="C257" s="196">
        <v>6549.9000000000015</v>
      </c>
      <c r="D257" s="245">
        <v>74.430681818181839</v>
      </c>
      <c r="E257" s="241">
        <v>73</v>
      </c>
      <c r="F257" s="241">
        <v>15</v>
      </c>
      <c r="G257" s="279"/>
      <c r="H257" s="24"/>
      <c r="I257" s="24"/>
    </row>
    <row r="258" spans="1:9" x14ac:dyDescent="0.25">
      <c r="A258" s="278">
        <v>15</v>
      </c>
      <c r="B258" s="183">
        <v>112</v>
      </c>
      <c r="C258" s="196">
        <v>5719.3999999999978</v>
      </c>
      <c r="D258" s="245">
        <v>64.993181818181796</v>
      </c>
      <c r="E258" s="241">
        <v>71</v>
      </c>
      <c r="F258" s="241">
        <v>17</v>
      </c>
      <c r="G258" s="279"/>
      <c r="H258" s="24"/>
      <c r="I258" s="24"/>
    </row>
    <row r="259" spans="1:9" x14ac:dyDescent="0.25">
      <c r="A259" s="278">
        <v>16</v>
      </c>
      <c r="B259" s="183">
        <v>113</v>
      </c>
      <c r="C259" s="196">
        <v>5567.9999999999973</v>
      </c>
      <c r="D259" s="245">
        <v>63.272727272727245</v>
      </c>
      <c r="E259" s="241">
        <v>70</v>
      </c>
      <c r="F259" s="241">
        <v>18</v>
      </c>
      <c r="G259" s="279"/>
      <c r="H259" s="24"/>
      <c r="I259" s="24"/>
    </row>
    <row r="260" spans="1:9" x14ac:dyDescent="0.25">
      <c r="A260" s="278">
        <v>17</v>
      </c>
      <c r="B260" s="183">
        <v>114</v>
      </c>
      <c r="C260" s="196">
        <v>5591.0000000000027</v>
      </c>
      <c r="D260" s="245">
        <v>63.534090909090942</v>
      </c>
      <c r="E260" s="241">
        <v>69</v>
      </c>
      <c r="F260" s="241">
        <v>19</v>
      </c>
      <c r="G260" s="279"/>
      <c r="H260" s="24"/>
      <c r="I260" s="24"/>
    </row>
    <row r="261" spans="1:9" x14ac:dyDescent="0.25">
      <c r="A261" s="278">
        <v>18</v>
      </c>
      <c r="B261" s="183">
        <v>115</v>
      </c>
      <c r="C261" s="196">
        <v>6229.8</v>
      </c>
      <c r="D261" s="245">
        <v>70.793181818181822</v>
      </c>
      <c r="E261" s="241">
        <v>71</v>
      </c>
      <c r="F261" s="241">
        <v>17</v>
      </c>
      <c r="G261" s="279"/>
      <c r="H261" s="24"/>
      <c r="I261" s="24"/>
    </row>
    <row r="262" spans="1:9" x14ac:dyDescent="0.25">
      <c r="A262" s="278">
        <v>19</v>
      </c>
      <c r="B262" s="183">
        <v>116</v>
      </c>
      <c r="C262" s="196">
        <v>5980.4999999999991</v>
      </c>
      <c r="D262" s="245">
        <v>67.960227272727266</v>
      </c>
      <c r="E262" s="241">
        <v>69</v>
      </c>
      <c r="F262" s="241">
        <v>19</v>
      </c>
      <c r="G262" s="279"/>
      <c r="H262" s="24"/>
      <c r="I262" s="24"/>
    </row>
    <row r="263" spans="1:9" x14ac:dyDescent="0.25">
      <c r="A263" s="278">
        <v>20</v>
      </c>
      <c r="B263" s="183">
        <v>117</v>
      </c>
      <c r="C263" s="196">
        <v>5978.8999999999987</v>
      </c>
      <c r="D263" s="245">
        <v>67.942045454545436</v>
      </c>
      <c r="E263" s="241">
        <v>70</v>
      </c>
      <c r="F263" s="241">
        <v>18</v>
      </c>
      <c r="G263" s="279"/>
      <c r="H263" s="24"/>
      <c r="I263" s="24"/>
    </row>
    <row r="264" spans="1:9" x14ac:dyDescent="0.25">
      <c r="A264" s="278">
        <v>21</v>
      </c>
      <c r="B264" s="183">
        <v>118</v>
      </c>
      <c r="C264" s="196">
        <v>6113.199999999998</v>
      </c>
      <c r="D264" s="245">
        <v>69.46818181818179</v>
      </c>
      <c r="E264" s="241">
        <v>70</v>
      </c>
      <c r="F264" s="241">
        <v>18</v>
      </c>
      <c r="G264" s="279"/>
      <c r="H264" s="24"/>
      <c r="I264" s="24"/>
    </row>
    <row r="265" spans="1:9" x14ac:dyDescent="0.25">
      <c r="A265" s="278">
        <v>22</v>
      </c>
      <c r="B265" s="183">
        <v>119</v>
      </c>
      <c r="C265" s="196">
        <v>6000.4000000000005</v>
      </c>
      <c r="D265" s="245">
        <v>68.186363636363637</v>
      </c>
      <c r="E265" s="241">
        <v>69</v>
      </c>
      <c r="F265" s="241">
        <v>19</v>
      </c>
      <c r="G265" s="279"/>
      <c r="H265" s="24"/>
      <c r="I265" s="24"/>
    </row>
    <row r="266" spans="1:9" x14ac:dyDescent="0.25">
      <c r="A266" s="278">
        <v>23</v>
      </c>
      <c r="B266" s="183">
        <v>120</v>
      </c>
      <c r="C266" s="196">
        <v>5728.2999999999993</v>
      </c>
      <c r="D266" s="245">
        <v>65.094318181818167</v>
      </c>
      <c r="E266" s="241">
        <v>67</v>
      </c>
      <c r="F266" s="241">
        <v>21</v>
      </c>
      <c r="G266" s="279"/>
      <c r="H266" s="24"/>
      <c r="I266" s="24"/>
    </row>
    <row r="267" spans="1:9" x14ac:dyDescent="0.25">
      <c r="A267" s="278">
        <v>0</v>
      </c>
      <c r="B267" s="183">
        <v>121</v>
      </c>
      <c r="C267" s="196">
        <v>5215.6000000000004</v>
      </c>
      <c r="D267" s="245">
        <v>59.268181818181823</v>
      </c>
      <c r="E267" s="241">
        <v>57</v>
      </c>
      <c r="F267" s="241">
        <v>31</v>
      </c>
      <c r="G267" s="279"/>
      <c r="H267" s="24"/>
      <c r="I267" s="24"/>
    </row>
    <row r="268" spans="1:9" x14ac:dyDescent="0.25">
      <c r="A268" s="278">
        <v>1</v>
      </c>
      <c r="B268" s="183">
        <v>122</v>
      </c>
      <c r="C268" s="196">
        <v>5242.8</v>
      </c>
      <c r="D268" s="245">
        <v>59.577272727272728</v>
      </c>
      <c r="E268" s="241">
        <v>58</v>
      </c>
      <c r="F268" s="241">
        <v>30</v>
      </c>
      <c r="G268" s="279"/>
      <c r="H268" s="24"/>
      <c r="I268" s="24"/>
    </row>
    <row r="269" spans="1:9" x14ac:dyDescent="0.25">
      <c r="A269" s="278">
        <v>2</v>
      </c>
      <c r="B269" s="183">
        <v>123</v>
      </c>
      <c r="C269" s="196">
        <v>5241.5999999999976</v>
      </c>
      <c r="D269" s="245">
        <v>59.563636363636334</v>
      </c>
      <c r="E269" s="241">
        <v>60</v>
      </c>
      <c r="F269" s="241">
        <v>28</v>
      </c>
      <c r="G269" s="279"/>
      <c r="H269" s="24"/>
      <c r="I269" s="24"/>
    </row>
    <row r="270" spans="1:9" x14ac:dyDescent="0.25">
      <c r="A270" s="278">
        <v>3</v>
      </c>
      <c r="B270" s="183">
        <v>124</v>
      </c>
      <c r="C270" s="196">
        <v>5184.1000000000013</v>
      </c>
      <c r="D270" s="245">
        <v>58.91022727272729</v>
      </c>
      <c r="E270" s="241">
        <v>59</v>
      </c>
      <c r="F270" s="241">
        <v>29</v>
      </c>
      <c r="G270" s="279"/>
      <c r="H270" s="24"/>
      <c r="I270" s="24"/>
    </row>
    <row r="271" spans="1:9" x14ac:dyDescent="0.25">
      <c r="A271" s="278">
        <v>4</v>
      </c>
      <c r="B271" s="183">
        <v>125</v>
      </c>
      <c r="C271" s="196">
        <v>5156.8</v>
      </c>
      <c r="D271" s="245">
        <v>58.6</v>
      </c>
      <c r="E271" s="241">
        <v>59</v>
      </c>
      <c r="F271" s="241">
        <v>29</v>
      </c>
      <c r="G271" s="279"/>
      <c r="H271" s="24"/>
      <c r="I271" s="24"/>
    </row>
    <row r="272" spans="1:9" x14ac:dyDescent="0.25">
      <c r="A272" s="278">
        <v>5</v>
      </c>
      <c r="B272" s="183">
        <v>126</v>
      </c>
      <c r="C272" s="196">
        <v>5463.5000000000009</v>
      </c>
      <c r="D272" s="245">
        <v>62.08522727272728</v>
      </c>
      <c r="E272" s="241">
        <v>65</v>
      </c>
      <c r="F272" s="241">
        <v>23</v>
      </c>
      <c r="G272" s="279"/>
      <c r="H272" s="24"/>
      <c r="I272" s="24"/>
    </row>
    <row r="273" spans="1:9" x14ac:dyDescent="0.25">
      <c r="A273" s="278">
        <v>6</v>
      </c>
      <c r="B273" s="183">
        <v>127</v>
      </c>
      <c r="C273" s="196">
        <v>5556.5999999999976</v>
      </c>
      <c r="D273" s="245">
        <v>63.143181818181795</v>
      </c>
      <c r="E273" s="241">
        <v>71</v>
      </c>
      <c r="F273" s="241">
        <v>17</v>
      </c>
      <c r="G273" s="279"/>
      <c r="H273" s="24"/>
      <c r="I273" s="24"/>
    </row>
    <row r="274" spans="1:9" x14ac:dyDescent="0.25">
      <c r="A274" s="278">
        <v>7</v>
      </c>
      <c r="B274" s="183">
        <v>128</v>
      </c>
      <c r="C274" s="196">
        <v>5988</v>
      </c>
      <c r="D274" s="245">
        <v>68.045454545454547</v>
      </c>
      <c r="E274" s="241">
        <v>70</v>
      </c>
      <c r="F274" s="241">
        <v>18</v>
      </c>
      <c r="G274" s="279"/>
      <c r="H274" s="24"/>
      <c r="I274" s="24"/>
    </row>
    <row r="275" spans="1:9" x14ac:dyDescent="0.25">
      <c r="A275" s="278">
        <v>8</v>
      </c>
      <c r="B275" s="183">
        <v>129</v>
      </c>
      <c r="C275" s="196">
        <v>5848.0999999999985</v>
      </c>
      <c r="D275" s="245">
        <v>66.455681818181802</v>
      </c>
      <c r="E275" s="241">
        <v>71</v>
      </c>
      <c r="F275" s="241">
        <v>17</v>
      </c>
      <c r="G275" s="279"/>
      <c r="H275" s="24"/>
      <c r="I275" s="24"/>
    </row>
    <row r="276" spans="1:9" x14ac:dyDescent="0.25">
      <c r="A276" s="278">
        <v>9</v>
      </c>
      <c r="B276" s="183">
        <v>130</v>
      </c>
      <c r="C276" s="196">
        <v>5887</v>
      </c>
      <c r="D276" s="245">
        <v>66.897727272727266</v>
      </c>
      <c r="E276" s="241">
        <v>69</v>
      </c>
      <c r="F276" s="241">
        <v>19</v>
      </c>
      <c r="G276" s="279"/>
      <c r="H276" s="24"/>
      <c r="I276" s="24"/>
    </row>
    <row r="277" spans="1:9" x14ac:dyDescent="0.25">
      <c r="A277" s="278">
        <v>10</v>
      </c>
      <c r="B277" s="183">
        <v>131</v>
      </c>
      <c r="C277" s="196">
        <v>5688.0000000000018</v>
      </c>
      <c r="D277" s="245">
        <v>64.636363636363654</v>
      </c>
      <c r="E277" s="241">
        <v>72</v>
      </c>
      <c r="F277" s="241">
        <v>16</v>
      </c>
      <c r="G277" s="279"/>
      <c r="H277" s="24"/>
      <c r="I277" s="24"/>
    </row>
    <row r="278" spans="1:9" x14ac:dyDescent="0.25">
      <c r="A278" s="278">
        <v>11</v>
      </c>
      <c r="B278" s="183">
        <v>132</v>
      </c>
      <c r="C278" s="196">
        <v>5956.5000000000009</v>
      </c>
      <c r="D278" s="245">
        <v>67.687500000000014</v>
      </c>
      <c r="E278" s="241">
        <v>73</v>
      </c>
      <c r="F278" s="241">
        <v>15</v>
      </c>
      <c r="G278" s="279"/>
      <c r="H278" s="24"/>
      <c r="I278" s="24"/>
    </row>
    <row r="279" spans="1:9" x14ac:dyDescent="0.25">
      <c r="A279" s="278">
        <v>12</v>
      </c>
      <c r="B279" s="183">
        <v>133</v>
      </c>
      <c r="C279" s="196">
        <v>5932.7000000000007</v>
      </c>
      <c r="D279" s="245">
        <v>67.417045454545459</v>
      </c>
      <c r="E279" s="241">
        <v>71</v>
      </c>
      <c r="F279" s="241">
        <v>17</v>
      </c>
      <c r="G279" s="279"/>
      <c r="H279" s="24"/>
      <c r="I279" s="24"/>
    </row>
    <row r="280" spans="1:9" x14ac:dyDescent="0.25">
      <c r="A280" s="278">
        <v>13</v>
      </c>
      <c r="B280" s="183">
        <v>134</v>
      </c>
      <c r="C280" s="196">
        <v>5980.1000000000013</v>
      </c>
      <c r="D280" s="245">
        <v>67.95568181818183</v>
      </c>
      <c r="E280" s="241">
        <v>70</v>
      </c>
      <c r="F280" s="241">
        <v>18</v>
      </c>
      <c r="G280" s="279"/>
      <c r="H280" s="24"/>
      <c r="I280" s="24"/>
    </row>
    <row r="281" spans="1:9" x14ac:dyDescent="0.25">
      <c r="A281" s="278">
        <v>14</v>
      </c>
      <c r="B281" s="183">
        <v>135</v>
      </c>
      <c r="C281" s="196">
        <v>5974.7999999999993</v>
      </c>
      <c r="D281" s="245">
        <v>67.895454545454541</v>
      </c>
      <c r="E281" s="241">
        <v>73</v>
      </c>
      <c r="F281" s="241">
        <v>15</v>
      </c>
      <c r="G281" s="279"/>
      <c r="H281" s="24"/>
      <c r="I281" s="24"/>
    </row>
    <row r="282" spans="1:9" x14ac:dyDescent="0.25">
      <c r="A282" s="278">
        <v>15</v>
      </c>
      <c r="B282" s="183">
        <v>136</v>
      </c>
      <c r="C282" s="196">
        <v>5608.0000000000009</v>
      </c>
      <c r="D282" s="245">
        <v>63.727272727272741</v>
      </c>
      <c r="E282" s="241">
        <v>70</v>
      </c>
      <c r="F282" s="241">
        <v>18</v>
      </c>
      <c r="G282" s="279"/>
      <c r="H282" s="24"/>
      <c r="I282" s="24"/>
    </row>
    <row r="283" spans="1:9" x14ac:dyDescent="0.25">
      <c r="A283" s="278">
        <v>16</v>
      </c>
      <c r="B283" s="183">
        <v>137</v>
      </c>
      <c r="C283" s="196">
        <v>4987.7999999999984</v>
      </c>
      <c r="D283" s="245">
        <v>56.679545454545433</v>
      </c>
      <c r="E283" s="241">
        <v>67</v>
      </c>
      <c r="F283" s="241">
        <v>21</v>
      </c>
      <c r="G283" s="279"/>
      <c r="H283" s="24"/>
      <c r="I283" s="24"/>
    </row>
    <row r="284" spans="1:9" x14ac:dyDescent="0.25">
      <c r="A284" s="278">
        <v>17</v>
      </c>
      <c r="B284" s="183">
        <v>138</v>
      </c>
      <c r="C284" s="196">
        <v>4917.2</v>
      </c>
      <c r="D284" s="245">
        <v>55.877272727272725</v>
      </c>
      <c r="E284" s="241">
        <v>65</v>
      </c>
      <c r="F284" s="241">
        <v>23</v>
      </c>
      <c r="G284" s="279"/>
      <c r="H284" s="24"/>
      <c r="I284" s="24"/>
    </row>
    <row r="285" spans="1:9" x14ac:dyDescent="0.25">
      <c r="A285" s="278">
        <v>18</v>
      </c>
      <c r="B285" s="183">
        <v>139</v>
      </c>
      <c r="C285" s="196">
        <v>4755.5999999999995</v>
      </c>
      <c r="D285" s="245">
        <v>54.040909090909082</v>
      </c>
      <c r="E285" s="241">
        <v>64</v>
      </c>
      <c r="F285" s="241">
        <v>24</v>
      </c>
      <c r="G285" s="279"/>
      <c r="H285" s="24"/>
      <c r="I285" s="24"/>
    </row>
    <row r="286" spans="1:9" x14ac:dyDescent="0.25">
      <c r="A286" s="278">
        <v>19</v>
      </c>
      <c r="B286" s="183">
        <v>140</v>
      </c>
      <c r="C286" s="196">
        <v>4750.5</v>
      </c>
      <c r="D286" s="245">
        <v>53.982954545454547</v>
      </c>
      <c r="E286" s="241">
        <v>65</v>
      </c>
      <c r="F286" s="241">
        <v>23</v>
      </c>
      <c r="G286" s="279"/>
      <c r="H286" s="24"/>
      <c r="I286" s="24"/>
    </row>
    <row r="287" spans="1:9" x14ac:dyDescent="0.25">
      <c r="A287" s="278">
        <v>20</v>
      </c>
      <c r="B287" s="183">
        <v>141</v>
      </c>
      <c r="C287" s="196">
        <v>4747.4000000000005</v>
      </c>
      <c r="D287" s="245">
        <v>53.947727272727278</v>
      </c>
      <c r="E287" s="241">
        <v>62</v>
      </c>
      <c r="F287" s="241">
        <v>26</v>
      </c>
      <c r="G287" s="279"/>
      <c r="H287" s="24"/>
      <c r="I287" s="24"/>
    </row>
    <row r="288" spans="1:9" x14ac:dyDescent="0.25">
      <c r="A288" s="278">
        <v>21</v>
      </c>
      <c r="B288" s="183">
        <v>142</v>
      </c>
      <c r="C288" s="196">
        <v>4722.0000000000009</v>
      </c>
      <c r="D288" s="245">
        <v>53.659090909090921</v>
      </c>
      <c r="E288" s="241">
        <v>61</v>
      </c>
      <c r="F288" s="241">
        <v>27</v>
      </c>
      <c r="G288" s="279"/>
      <c r="H288" s="24"/>
      <c r="I288" s="24"/>
    </row>
    <row r="289" spans="1:9" x14ac:dyDescent="0.25">
      <c r="A289" s="278">
        <v>22</v>
      </c>
      <c r="B289" s="183">
        <v>143</v>
      </c>
      <c r="C289" s="196">
        <v>4836.4000000000005</v>
      </c>
      <c r="D289" s="245">
        <v>54.959090909090918</v>
      </c>
      <c r="E289" s="241">
        <v>63</v>
      </c>
      <c r="F289" s="241">
        <v>25</v>
      </c>
      <c r="G289" s="279"/>
      <c r="H289" s="24"/>
      <c r="I289" s="24"/>
    </row>
    <row r="290" spans="1:9" x14ac:dyDescent="0.25">
      <c r="A290" s="278">
        <v>23</v>
      </c>
      <c r="B290" s="183">
        <v>144</v>
      </c>
      <c r="C290" s="196">
        <v>4418.6999999999989</v>
      </c>
      <c r="D290" s="245">
        <v>50.212499999999984</v>
      </c>
      <c r="E290" s="241">
        <v>59</v>
      </c>
      <c r="F290" s="241">
        <v>29</v>
      </c>
      <c r="G290" s="279"/>
      <c r="H290" s="24"/>
      <c r="I290" s="24"/>
    </row>
    <row r="291" spans="1:9" x14ac:dyDescent="0.25">
      <c r="A291" s="278">
        <v>0</v>
      </c>
      <c r="B291" s="183">
        <v>145</v>
      </c>
      <c r="C291" s="196">
        <v>4079.2999999999997</v>
      </c>
      <c r="D291" s="245">
        <v>46.355681818181814</v>
      </c>
      <c r="E291" s="241">
        <v>55</v>
      </c>
      <c r="F291" s="241">
        <v>33</v>
      </c>
      <c r="G291" s="279"/>
      <c r="H291" s="24"/>
      <c r="I291" s="24"/>
    </row>
    <row r="292" spans="1:9" x14ac:dyDescent="0.25">
      <c r="A292" s="278">
        <v>1</v>
      </c>
      <c r="B292" s="183">
        <v>146</v>
      </c>
      <c r="C292" s="196">
        <v>3989.2000000000007</v>
      </c>
      <c r="D292" s="245">
        <v>45.331818181818193</v>
      </c>
      <c r="E292" s="241">
        <v>54</v>
      </c>
      <c r="F292" s="241">
        <v>34</v>
      </c>
      <c r="G292" s="279"/>
      <c r="H292" s="24"/>
      <c r="I292" s="24"/>
    </row>
    <row r="293" spans="1:9" x14ac:dyDescent="0.25">
      <c r="A293" s="278">
        <v>2</v>
      </c>
      <c r="B293" s="183">
        <v>147</v>
      </c>
      <c r="C293" s="196">
        <v>4246.2000000000007</v>
      </c>
      <c r="D293" s="245">
        <v>48.252272727272732</v>
      </c>
      <c r="E293" s="241">
        <v>55</v>
      </c>
      <c r="F293" s="241">
        <v>33</v>
      </c>
      <c r="G293" s="279"/>
      <c r="H293" s="24"/>
      <c r="I293" s="24"/>
    </row>
    <row r="294" spans="1:9" x14ac:dyDescent="0.25">
      <c r="A294" s="278">
        <v>3</v>
      </c>
      <c r="B294" s="183">
        <v>148</v>
      </c>
      <c r="C294" s="196">
        <v>4221.8999999999996</v>
      </c>
      <c r="D294" s="245">
        <v>47.976136363636357</v>
      </c>
      <c r="E294" s="241">
        <v>56</v>
      </c>
      <c r="F294" s="241">
        <v>32</v>
      </c>
      <c r="G294" s="279"/>
      <c r="H294" s="24"/>
      <c r="I294" s="24"/>
    </row>
    <row r="295" spans="1:9" x14ac:dyDescent="0.25">
      <c r="A295" s="278">
        <v>4</v>
      </c>
      <c r="B295" s="183">
        <v>149</v>
      </c>
      <c r="C295" s="196">
        <v>4212.5</v>
      </c>
      <c r="D295" s="245">
        <v>47.86931818181818</v>
      </c>
      <c r="E295" s="241">
        <v>55</v>
      </c>
      <c r="F295" s="241">
        <v>33</v>
      </c>
      <c r="G295" s="279"/>
      <c r="H295" s="24"/>
      <c r="I295" s="24"/>
    </row>
    <row r="296" spans="1:9" x14ac:dyDescent="0.25">
      <c r="A296" s="278">
        <v>5</v>
      </c>
      <c r="B296" s="183">
        <v>150</v>
      </c>
      <c r="C296" s="196">
        <v>4153.8</v>
      </c>
      <c r="D296" s="245">
        <v>47.202272727272728</v>
      </c>
      <c r="E296" s="241">
        <v>56</v>
      </c>
      <c r="F296" s="241">
        <v>32</v>
      </c>
      <c r="G296" s="279"/>
      <c r="H296" s="24"/>
      <c r="I296" s="24"/>
    </row>
    <row r="297" spans="1:9" x14ac:dyDescent="0.25">
      <c r="A297" s="278">
        <v>6</v>
      </c>
      <c r="B297" s="183">
        <v>151</v>
      </c>
      <c r="C297" s="196">
        <v>4046.9</v>
      </c>
      <c r="D297" s="245">
        <v>45.987500000000004</v>
      </c>
      <c r="E297" s="241">
        <v>56</v>
      </c>
      <c r="F297" s="241">
        <v>32</v>
      </c>
      <c r="G297" s="279"/>
      <c r="H297" s="24"/>
      <c r="I297" s="24"/>
    </row>
    <row r="298" spans="1:9" x14ac:dyDescent="0.25">
      <c r="A298" s="278">
        <v>7</v>
      </c>
      <c r="B298" s="183">
        <v>152</v>
      </c>
      <c r="C298" s="196">
        <v>4420.7999999999993</v>
      </c>
      <c r="D298" s="245">
        <v>50.236363636363627</v>
      </c>
      <c r="E298" s="241">
        <v>58</v>
      </c>
      <c r="F298" s="241">
        <v>30</v>
      </c>
      <c r="G298" s="279"/>
      <c r="H298" s="24"/>
      <c r="I298" s="24"/>
    </row>
    <row r="299" spans="1:9" x14ac:dyDescent="0.25">
      <c r="A299" s="278">
        <v>8</v>
      </c>
      <c r="B299" s="183">
        <v>153</v>
      </c>
      <c r="C299" s="196">
        <v>4289.7999999999993</v>
      </c>
      <c r="D299" s="245">
        <v>48.747727272727268</v>
      </c>
      <c r="E299" s="241">
        <v>56</v>
      </c>
      <c r="F299" s="241">
        <v>32</v>
      </c>
      <c r="G299" s="279"/>
      <c r="H299" s="24"/>
      <c r="I299" s="24"/>
    </row>
    <row r="300" spans="1:9" x14ac:dyDescent="0.25">
      <c r="A300" s="278">
        <v>9</v>
      </c>
      <c r="B300" s="183">
        <v>154</v>
      </c>
      <c r="C300" s="196">
        <v>4588.4999999999991</v>
      </c>
      <c r="D300" s="245">
        <v>52.142045454545446</v>
      </c>
      <c r="E300" s="241">
        <v>58</v>
      </c>
      <c r="F300" s="241">
        <v>30</v>
      </c>
      <c r="G300" s="279"/>
      <c r="H300" s="24"/>
      <c r="I300" s="24"/>
    </row>
    <row r="301" spans="1:9" x14ac:dyDescent="0.25">
      <c r="A301" s="278">
        <v>10</v>
      </c>
      <c r="B301" s="183">
        <v>155</v>
      </c>
      <c r="C301" s="196">
        <v>4606.9000000000005</v>
      </c>
      <c r="D301" s="245">
        <v>52.351136363636371</v>
      </c>
      <c r="E301" s="241">
        <v>58</v>
      </c>
      <c r="F301" s="241">
        <v>30</v>
      </c>
      <c r="G301" s="279"/>
      <c r="H301" s="24"/>
      <c r="I301" s="24"/>
    </row>
    <row r="302" spans="1:9" x14ac:dyDescent="0.25">
      <c r="A302" s="278">
        <v>11</v>
      </c>
      <c r="B302" s="183">
        <v>156</v>
      </c>
      <c r="C302" s="196">
        <v>4540.1999999999989</v>
      </c>
      <c r="D302" s="245">
        <v>51.593181818181804</v>
      </c>
      <c r="E302" s="241">
        <v>58</v>
      </c>
      <c r="F302" s="241">
        <v>30</v>
      </c>
      <c r="G302" s="279"/>
      <c r="H302" s="24"/>
      <c r="I302" s="24"/>
    </row>
    <row r="303" spans="1:9" x14ac:dyDescent="0.25">
      <c r="A303" s="278">
        <v>12</v>
      </c>
      <c r="B303" s="183">
        <v>157</v>
      </c>
      <c r="C303" s="196">
        <v>4430.3999999999987</v>
      </c>
      <c r="D303" s="245">
        <v>50.34545454545453</v>
      </c>
      <c r="E303" s="241">
        <v>57</v>
      </c>
      <c r="F303" s="241">
        <v>31</v>
      </c>
      <c r="G303" s="279"/>
      <c r="H303" s="24"/>
      <c r="I303" s="24"/>
    </row>
    <row r="304" spans="1:9" x14ac:dyDescent="0.25">
      <c r="A304" s="278">
        <v>13</v>
      </c>
      <c r="B304" s="183">
        <v>158</v>
      </c>
      <c r="C304" s="196">
        <v>4249.0999999999995</v>
      </c>
      <c r="D304" s="245">
        <v>48.285227272727269</v>
      </c>
      <c r="E304" s="241">
        <v>55</v>
      </c>
      <c r="F304" s="241">
        <v>33</v>
      </c>
      <c r="G304" s="279"/>
      <c r="H304" s="24"/>
      <c r="I304" s="24"/>
    </row>
    <row r="305" spans="1:9" x14ac:dyDescent="0.25">
      <c r="A305" s="278">
        <v>14</v>
      </c>
      <c r="B305" s="183">
        <v>159</v>
      </c>
      <c r="C305" s="196">
        <v>4290.5999999999995</v>
      </c>
      <c r="D305" s="245">
        <v>48.756818181818176</v>
      </c>
      <c r="E305" s="241">
        <v>55</v>
      </c>
      <c r="F305" s="241">
        <v>33</v>
      </c>
      <c r="G305" s="279"/>
      <c r="H305" s="24"/>
      <c r="I305" s="24"/>
    </row>
    <row r="306" spans="1:9" x14ac:dyDescent="0.25">
      <c r="A306" s="278">
        <v>15</v>
      </c>
      <c r="B306" s="183">
        <v>160</v>
      </c>
      <c r="C306" s="196">
        <v>4122.9999999999991</v>
      </c>
      <c r="D306" s="245">
        <v>46.85227272727272</v>
      </c>
      <c r="E306" s="241">
        <v>53</v>
      </c>
      <c r="F306" s="241">
        <v>35</v>
      </c>
      <c r="G306" s="279"/>
      <c r="H306" s="24"/>
      <c r="I306" s="24"/>
    </row>
    <row r="307" spans="1:9" x14ac:dyDescent="0.25">
      <c r="A307" s="278">
        <v>16</v>
      </c>
      <c r="B307" s="183">
        <v>161</v>
      </c>
      <c r="C307" s="196">
        <v>3938</v>
      </c>
      <c r="D307" s="245">
        <v>44.75</v>
      </c>
      <c r="E307" s="241">
        <v>50</v>
      </c>
      <c r="F307" s="241">
        <v>38</v>
      </c>
      <c r="G307" s="279"/>
      <c r="H307" s="24"/>
      <c r="I307" s="24"/>
    </row>
    <row r="308" spans="1:9" x14ac:dyDescent="0.25">
      <c r="A308" s="278">
        <v>17</v>
      </c>
      <c r="B308" s="183">
        <v>162</v>
      </c>
      <c r="C308" s="196">
        <v>3848.2000000000012</v>
      </c>
      <c r="D308" s="245">
        <v>43.729545454545466</v>
      </c>
      <c r="E308" s="241">
        <v>54</v>
      </c>
      <c r="F308" s="241">
        <v>34</v>
      </c>
      <c r="G308" s="279"/>
      <c r="H308" s="24"/>
      <c r="I308" s="24"/>
    </row>
    <row r="309" spans="1:9" x14ac:dyDescent="0.25">
      <c r="A309" s="278">
        <v>18</v>
      </c>
      <c r="B309" s="183">
        <v>163</v>
      </c>
      <c r="C309" s="196">
        <v>4438.4999999999982</v>
      </c>
      <c r="D309" s="245">
        <v>50.437499999999979</v>
      </c>
      <c r="E309" s="241">
        <v>58</v>
      </c>
      <c r="F309" s="241">
        <v>30</v>
      </c>
      <c r="G309" s="279"/>
      <c r="H309" s="24"/>
      <c r="I309" s="24"/>
    </row>
    <row r="310" spans="1:9" x14ac:dyDescent="0.25">
      <c r="A310" s="278">
        <v>19</v>
      </c>
      <c r="B310" s="183">
        <v>164</v>
      </c>
      <c r="C310" s="196">
        <v>5219.2999999999993</v>
      </c>
      <c r="D310" s="245">
        <v>59.310227272727268</v>
      </c>
      <c r="E310" s="241">
        <v>59</v>
      </c>
      <c r="F310" s="241">
        <v>29</v>
      </c>
      <c r="G310" s="279"/>
      <c r="H310" s="24"/>
      <c r="I310" s="24"/>
    </row>
    <row r="311" spans="1:9" x14ac:dyDescent="0.25">
      <c r="A311" s="278">
        <v>20</v>
      </c>
      <c r="B311" s="183">
        <v>165</v>
      </c>
      <c r="C311" s="196">
        <v>5141.4000000000005</v>
      </c>
      <c r="D311" s="245">
        <v>58.425000000000004</v>
      </c>
      <c r="E311" s="241">
        <v>60</v>
      </c>
      <c r="F311" s="241">
        <v>28</v>
      </c>
      <c r="G311" s="279"/>
      <c r="H311" s="24"/>
      <c r="I311" s="24"/>
    </row>
    <row r="312" spans="1:9" x14ac:dyDescent="0.25">
      <c r="A312" s="278">
        <v>21</v>
      </c>
      <c r="B312" s="183">
        <v>166</v>
      </c>
      <c r="C312" s="196">
        <v>5214.1000000000004</v>
      </c>
      <c r="D312" s="245">
        <v>59.25113636363637</v>
      </c>
      <c r="E312" s="241">
        <v>60</v>
      </c>
      <c r="F312" s="241">
        <v>28</v>
      </c>
      <c r="G312" s="279"/>
      <c r="H312" s="24"/>
      <c r="I312" s="24"/>
    </row>
    <row r="313" spans="1:9" x14ac:dyDescent="0.25">
      <c r="A313" s="278">
        <v>22</v>
      </c>
      <c r="B313" s="183">
        <v>167</v>
      </c>
      <c r="C313" s="196">
        <v>4957.7999999999993</v>
      </c>
      <c r="D313" s="245">
        <v>56.338636363636354</v>
      </c>
      <c r="E313" s="241">
        <v>59</v>
      </c>
      <c r="F313" s="241">
        <v>29</v>
      </c>
      <c r="G313" s="279"/>
      <c r="H313" s="24"/>
      <c r="I313" s="24"/>
    </row>
    <row r="314" spans="1:9" x14ac:dyDescent="0.25">
      <c r="A314" s="280">
        <v>23</v>
      </c>
      <c r="B314" s="237">
        <v>168</v>
      </c>
      <c r="C314" s="198">
        <v>3615.4000000000005</v>
      </c>
      <c r="D314" s="246">
        <v>41.084090909090918</v>
      </c>
      <c r="E314" s="243">
        <v>55</v>
      </c>
      <c r="F314" s="243">
        <v>33</v>
      </c>
      <c r="G314" s="281"/>
      <c r="H314" s="24"/>
      <c r="I314" s="24"/>
    </row>
    <row r="315" spans="1:9" x14ac:dyDescent="0.25">
      <c r="A315" s="24"/>
      <c r="B315" s="24"/>
      <c r="C315" s="24"/>
      <c r="D315" s="24"/>
      <c r="E315" s="24"/>
      <c r="F315" s="24"/>
      <c r="G315" s="24"/>
      <c r="H315" s="24"/>
      <c r="I315" s="24"/>
    </row>
    <row r="316" spans="1:9" x14ac:dyDescent="0.25">
      <c r="A316" s="24"/>
      <c r="B316" s="24"/>
      <c r="C316" s="24"/>
      <c r="D316" s="24"/>
      <c r="E316" s="24"/>
      <c r="F316" s="24"/>
      <c r="G316" s="24"/>
      <c r="H316" s="24"/>
      <c r="I316" s="24"/>
    </row>
    <row r="317" spans="1:9" x14ac:dyDescent="0.25">
      <c r="A317" s="24"/>
      <c r="B317" s="24"/>
      <c r="C317" s="24"/>
      <c r="D317" s="24"/>
      <c r="E317" s="24"/>
      <c r="F317" s="24"/>
      <c r="G317" s="24"/>
      <c r="H317" s="24"/>
      <c r="I317" s="24"/>
    </row>
    <row r="318" spans="1:9" x14ac:dyDescent="0.25">
      <c r="A318" s="24"/>
      <c r="B318" s="24"/>
      <c r="C318" s="24"/>
      <c r="D318" s="24"/>
      <c r="E318" s="24"/>
      <c r="F318" s="24"/>
      <c r="G318" s="24"/>
      <c r="H318" s="24"/>
      <c r="I318" s="24"/>
    </row>
    <row r="319" spans="1:9" x14ac:dyDescent="0.25">
      <c r="A319" s="24"/>
      <c r="B319" s="24"/>
      <c r="C319" s="24"/>
      <c r="D319" s="24"/>
      <c r="E319" s="24"/>
      <c r="F319" s="24"/>
      <c r="G319" s="24"/>
      <c r="H319" s="24"/>
      <c r="I319" s="24"/>
    </row>
    <row r="320" spans="1:9" x14ac:dyDescent="0.25">
      <c r="A320" s="24"/>
      <c r="B320" s="24"/>
      <c r="C320" s="24"/>
      <c r="D320" s="24"/>
      <c r="E320" s="24"/>
      <c r="F320" s="24"/>
      <c r="G320" s="24"/>
      <c r="H320" s="24"/>
      <c r="I320" s="24"/>
    </row>
    <row r="321" spans="1:9" x14ac:dyDescent="0.25">
      <c r="A321" s="24"/>
      <c r="B321" s="24"/>
      <c r="C321" s="24"/>
      <c r="D321" s="24"/>
      <c r="E321" s="24"/>
      <c r="F321" s="24"/>
      <c r="G321" s="24"/>
      <c r="H321" s="24"/>
      <c r="I321" s="24"/>
    </row>
    <row r="322" spans="1:9" x14ac:dyDescent="0.25">
      <c r="A322" s="24"/>
      <c r="B322" s="24"/>
      <c r="C322" s="24"/>
      <c r="D322" s="24"/>
      <c r="E322" s="24"/>
      <c r="F322" s="24"/>
      <c r="G322" s="24"/>
      <c r="H322" s="24"/>
      <c r="I322" s="24"/>
    </row>
    <row r="323" spans="1:9" x14ac:dyDescent="0.25">
      <c r="A323" s="24"/>
      <c r="B323" s="24"/>
      <c r="C323" s="24"/>
      <c r="D323" s="24"/>
      <c r="E323" s="24"/>
      <c r="F323" s="24"/>
      <c r="G323" s="24"/>
      <c r="H323" s="24"/>
      <c r="I323" s="24"/>
    </row>
    <row r="324" spans="1:9" x14ac:dyDescent="0.25">
      <c r="A324" s="24"/>
      <c r="B324" s="24"/>
      <c r="C324" s="24"/>
      <c r="D324" s="24"/>
      <c r="E324" s="24"/>
      <c r="F324" s="24"/>
      <c r="G324" s="24"/>
      <c r="H324" s="24"/>
      <c r="I324" s="24"/>
    </row>
    <row r="325" spans="1:9" x14ac:dyDescent="0.25">
      <c r="A325" s="24"/>
      <c r="B325" s="24"/>
      <c r="C325" s="24"/>
      <c r="D325" s="24"/>
      <c r="E325" s="24"/>
      <c r="F325" s="24"/>
      <c r="G325" s="24"/>
      <c r="H325" s="24"/>
      <c r="I325" s="24"/>
    </row>
    <row r="326" spans="1:9" x14ac:dyDescent="0.25">
      <c r="A326" s="24"/>
      <c r="B326" s="24"/>
      <c r="C326" s="24"/>
      <c r="D326" s="24"/>
      <c r="E326" s="24"/>
      <c r="F326" s="24"/>
      <c r="G326" s="24"/>
      <c r="H326" s="24"/>
      <c r="I326" s="24"/>
    </row>
    <row r="327" spans="1:9" x14ac:dyDescent="0.25">
      <c r="A327" s="24"/>
      <c r="B327" s="24"/>
      <c r="C327" s="24"/>
      <c r="D327" s="24"/>
      <c r="E327" s="24"/>
      <c r="F327" s="24"/>
      <c r="G327" s="24"/>
      <c r="H327" s="24"/>
      <c r="I327" s="24"/>
    </row>
  </sheetData>
  <mergeCells count="32">
    <mergeCell ref="A29:B29"/>
    <mergeCell ref="M47:O47"/>
    <mergeCell ref="A31:B31"/>
    <mergeCell ref="A32:B32"/>
    <mergeCell ref="A33:B33"/>
    <mergeCell ref="M29:O29"/>
    <mergeCell ref="M31:N31"/>
    <mergeCell ref="M32:N32"/>
    <mergeCell ref="M33:N33"/>
    <mergeCell ref="N43:U43"/>
    <mergeCell ref="N44:U44"/>
    <mergeCell ref="N45:U45"/>
    <mergeCell ref="M24:O24"/>
    <mergeCell ref="M25:O25"/>
    <mergeCell ref="M26:O26"/>
    <mergeCell ref="M27:O27"/>
    <mergeCell ref="M28:O28"/>
    <mergeCell ref="A24:B24"/>
    <mergeCell ref="A25:B25"/>
    <mergeCell ref="A26:B26"/>
    <mergeCell ref="A27:B27"/>
    <mergeCell ref="A28:B28"/>
    <mergeCell ref="B56:G56"/>
    <mergeCell ref="A119:B119"/>
    <mergeCell ref="A120:B120"/>
    <mergeCell ref="A121:B121"/>
    <mergeCell ref="M48:O48"/>
    <mergeCell ref="M49:O49"/>
    <mergeCell ref="M50:O50"/>
    <mergeCell ref="M51:O51"/>
    <mergeCell ref="M52:O52"/>
    <mergeCell ref="M53:O53"/>
  </mergeCells>
  <pageMargins left="0.7" right="0.7" top="0.75" bottom="0.75" header="0.3" footer="0.3"/>
  <pageSetup orientation="portrait" horizontalDpi="0"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CompAirPrescriptive</vt:lpstr>
      <vt:lpstr>Accessibility Disclaimer</vt:lpstr>
      <vt:lpstr>Version Control</vt:lpstr>
      <vt:lpstr>IncentiveTweak</vt:lpstr>
      <vt:lpstr>BackEnd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IVOR DACUNHA</dc:creator>
  <cp:lastModifiedBy>Keith Lam</cp:lastModifiedBy>
  <cp:lastPrinted>2018-05-03T17:37:55Z</cp:lastPrinted>
  <dcterms:created xsi:type="dcterms:W3CDTF">2015-10-25T01:56:38Z</dcterms:created>
  <dcterms:modified xsi:type="dcterms:W3CDTF">2021-01-05T16:12:33Z</dcterms:modified>
</cp:coreProperties>
</file>